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8_{5AB012A8-D32C-4024-A101-C872F69D2C60}" xr6:coauthVersionLast="47" xr6:coauthVersionMax="47" xr10:uidLastSave="{00000000-0000-0000-0000-000000000000}"/>
  <bookViews>
    <workbookView xWindow="-98" yWindow="-98" windowWidth="19396" windowHeight="10395" tabRatio="949" xr2:uid="{00000000-000D-0000-FFFF-FFFF00000000}"/>
  </bookViews>
  <sheets>
    <sheet name="Template Monthly DoR" sheetId="25" r:id="rId1"/>
    <sheet name="Spread Template Monthly DoR" sheetId="65" r:id="rId2"/>
  </sheets>
  <definedNames>
    <definedName name="_xlnm._FilterDatabase" localSheetId="1" hidden="1">'Spread Template Monthly DoR'!$A$1:$F$12804</definedName>
    <definedName name="_xlnm._FilterDatabase" localSheetId="0" hidden="1">'Template Monthly DoR'!$A$1:$G$12804</definedName>
  </definedNames>
  <calcPr calcId="181029"/>
</workbook>
</file>

<file path=xl/calcChain.xml><?xml version="1.0" encoding="utf-8"?>
<calcChain xmlns="http://schemas.openxmlformats.org/spreadsheetml/2006/main">
  <c r="K60" i="25" l="1"/>
  <c r="K64" i="25" s="1"/>
  <c r="H252" i="25"/>
  <c r="P11" i="65" l="1"/>
  <c r="P10" i="65"/>
  <c r="S10" i="65" s="1"/>
  <c r="E1" i="65"/>
  <c r="D1" i="65"/>
  <c r="P5" i="65"/>
  <c r="P4" i="65"/>
  <c r="D3" i="65"/>
  <c r="E3" i="65"/>
  <c r="D4" i="65"/>
  <c r="E4" i="65"/>
  <c r="D5" i="65"/>
  <c r="E5" i="65"/>
  <c r="D6" i="65"/>
  <c r="E6" i="65"/>
  <c r="D7" i="65"/>
  <c r="E7" i="65"/>
  <c r="D8" i="65"/>
  <c r="E8" i="65"/>
  <c r="D9" i="65"/>
  <c r="E9" i="65"/>
  <c r="D10" i="65"/>
  <c r="E10" i="65"/>
  <c r="D11" i="65"/>
  <c r="E11" i="65"/>
  <c r="D12" i="65"/>
  <c r="E12" i="65"/>
  <c r="D13" i="65"/>
  <c r="E13" i="65"/>
  <c r="D14" i="65"/>
  <c r="E14" i="65"/>
  <c r="D15" i="65"/>
  <c r="E15" i="65"/>
  <c r="D16" i="65"/>
  <c r="E16" i="65"/>
  <c r="D17" i="65"/>
  <c r="E17" i="65"/>
  <c r="D18" i="65"/>
  <c r="E18" i="65"/>
  <c r="D19" i="65"/>
  <c r="E19" i="65"/>
  <c r="D20" i="65"/>
  <c r="E20" i="65"/>
  <c r="D21" i="65"/>
  <c r="E21" i="65"/>
  <c r="D22" i="65"/>
  <c r="E22" i="65"/>
  <c r="D23" i="65"/>
  <c r="E23" i="65"/>
  <c r="D24" i="65"/>
  <c r="E24" i="65"/>
  <c r="D25" i="65"/>
  <c r="E25" i="65"/>
  <c r="D26" i="65"/>
  <c r="E26" i="65"/>
  <c r="D27" i="65"/>
  <c r="E27" i="65"/>
  <c r="D28" i="65"/>
  <c r="E28" i="65"/>
  <c r="D29" i="65"/>
  <c r="E29" i="65"/>
  <c r="D30" i="65"/>
  <c r="E30" i="65"/>
  <c r="D31" i="65"/>
  <c r="E31" i="65"/>
  <c r="D32" i="65"/>
  <c r="E32" i="65"/>
  <c r="D33" i="65"/>
  <c r="E33" i="65"/>
  <c r="D34" i="65"/>
  <c r="E34" i="65"/>
  <c r="D35" i="65"/>
  <c r="E35" i="65"/>
  <c r="D36" i="65"/>
  <c r="E36" i="65"/>
  <c r="D37" i="65"/>
  <c r="E37" i="65"/>
  <c r="D38" i="65"/>
  <c r="E38" i="65"/>
  <c r="D39" i="65"/>
  <c r="E39" i="65"/>
  <c r="D40" i="65"/>
  <c r="E40" i="65"/>
  <c r="D41" i="65"/>
  <c r="E41" i="65"/>
  <c r="D42" i="65"/>
  <c r="E42" i="65"/>
  <c r="D43" i="65"/>
  <c r="E43" i="65"/>
  <c r="D44" i="65"/>
  <c r="E44" i="65"/>
  <c r="D45" i="65"/>
  <c r="E45" i="65"/>
  <c r="D46" i="65"/>
  <c r="E46" i="65"/>
  <c r="D47" i="65"/>
  <c r="E47" i="65"/>
  <c r="D48" i="65"/>
  <c r="E48" i="65"/>
  <c r="D49" i="65"/>
  <c r="E49" i="65"/>
  <c r="D50" i="65"/>
  <c r="E50" i="65"/>
  <c r="D51" i="65"/>
  <c r="E51" i="65"/>
  <c r="D52" i="65"/>
  <c r="E52" i="65"/>
  <c r="D53" i="65"/>
  <c r="E53" i="65"/>
  <c r="D54" i="65"/>
  <c r="E54" i="65"/>
  <c r="D55" i="65"/>
  <c r="E55" i="65"/>
  <c r="D56" i="65"/>
  <c r="E56" i="65"/>
  <c r="D57" i="65"/>
  <c r="E57" i="65"/>
  <c r="D58" i="65"/>
  <c r="E58" i="65"/>
  <c r="D59" i="65"/>
  <c r="E59" i="65"/>
  <c r="D60" i="65"/>
  <c r="E60" i="65"/>
  <c r="D61" i="65"/>
  <c r="E61" i="65"/>
  <c r="D62" i="65"/>
  <c r="E62" i="65"/>
  <c r="D63" i="65"/>
  <c r="E63" i="65"/>
  <c r="D64" i="65"/>
  <c r="E64" i="65"/>
  <c r="D65" i="65"/>
  <c r="E65" i="65"/>
  <c r="D66" i="65"/>
  <c r="E66" i="65"/>
  <c r="D67" i="65"/>
  <c r="E67" i="65"/>
  <c r="D68" i="65"/>
  <c r="E68" i="65"/>
  <c r="D69" i="65"/>
  <c r="E69" i="65"/>
  <c r="D70" i="65"/>
  <c r="E70" i="65"/>
  <c r="D71" i="65"/>
  <c r="E71" i="65"/>
  <c r="D72" i="65"/>
  <c r="E72" i="65"/>
  <c r="D73" i="65"/>
  <c r="E73" i="65"/>
  <c r="D74" i="65"/>
  <c r="E74" i="65"/>
  <c r="D75" i="65"/>
  <c r="E75" i="65"/>
  <c r="D76" i="65"/>
  <c r="E76" i="65"/>
  <c r="D77" i="65"/>
  <c r="E77" i="65"/>
  <c r="D78" i="65"/>
  <c r="E78" i="65"/>
  <c r="D79" i="65"/>
  <c r="E79" i="65"/>
  <c r="D80" i="65"/>
  <c r="E80" i="65"/>
  <c r="D81" i="65"/>
  <c r="E81" i="65"/>
  <c r="D82" i="65"/>
  <c r="E82" i="65"/>
  <c r="D83" i="65"/>
  <c r="E83" i="65"/>
  <c r="D84" i="65"/>
  <c r="E84" i="65"/>
  <c r="D85" i="65"/>
  <c r="E85" i="65"/>
  <c r="D86" i="65"/>
  <c r="E86" i="65"/>
  <c r="D87" i="65"/>
  <c r="E87" i="65"/>
  <c r="D88" i="65"/>
  <c r="E88" i="65"/>
  <c r="D89" i="65"/>
  <c r="E89" i="65"/>
  <c r="D90" i="65"/>
  <c r="E90" i="65"/>
  <c r="D91" i="65"/>
  <c r="E91" i="65"/>
  <c r="D92" i="65"/>
  <c r="E92" i="65"/>
  <c r="D93" i="65"/>
  <c r="E93" i="65"/>
  <c r="D94" i="65"/>
  <c r="E94" i="65"/>
  <c r="D95" i="65"/>
  <c r="E95" i="65"/>
  <c r="D96" i="65"/>
  <c r="E96" i="65"/>
  <c r="D97" i="65"/>
  <c r="E97" i="65"/>
  <c r="D98" i="65"/>
  <c r="E98" i="65"/>
  <c r="D99" i="65"/>
  <c r="E99" i="65"/>
  <c r="D100" i="65"/>
  <c r="E100" i="65"/>
  <c r="D101" i="65"/>
  <c r="E101" i="65"/>
  <c r="D102" i="65"/>
  <c r="E102" i="65"/>
  <c r="D103" i="65"/>
  <c r="E103" i="65"/>
  <c r="D104" i="65"/>
  <c r="E104" i="65"/>
  <c r="D105" i="65"/>
  <c r="E105" i="65"/>
  <c r="D106" i="65"/>
  <c r="E106" i="65"/>
  <c r="D107" i="65"/>
  <c r="E107" i="65"/>
  <c r="D108" i="65"/>
  <c r="E108" i="65"/>
  <c r="D109" i="65"/>
  <c r="E109" i="65"/>
  <c r="D110" i="65"/>
  <c r="E110" i="65"/>
  <c r="D111" i="65"/>
  <c r="E111" i="65"/>
  <c r="D112" i="65"/>
  <c r="E112" i="65"/>
  <c r="D113" i="65"/>
  <c r="E113" i="65"/>
  <c r="D114" i="65"/>
  <c r="E114" i="65"/>
  <c r="D115" i="65"/>
  <c r="E115" i="65"/>
  <c r="D116" i="65"/>
  <c r="E116" i="65"/>
  <c r="D117" i="65"/>
  <c r="E117" i="65"/>
  <c r="D118" i="65"/>
  <c r="E118" i="65"/>
  <c r="D119" i="65"/>
  <c r="E119" i="65"/>
  <c r="D120" i="65"/>
  <c r="E120" i="65"/>
  <c r="E2" i="65"/>
  <c r="D2" i="65"/>
  <c r="K63" i="25"/>
  <c r="F58" i="65" l="1"/>
  <c r="F116" i="65"/>
  <c r="F69" i="65"/>
  <c r="F82" i="65"/>
  <c r="F117" i="65"/>
  <c r="F106" i="65"/>
  <c r="F57" i="65"/>
  <c r="F105" i="65"/>
  <c r="F46" i="65"/>
  <c r="F104" i="65"/>
  <c r="F45" i="65"/>
  <c r="F94" i="65"/>
  <c r="F34" i="65"/>
  <c r="F93" i="65"/>
  <c r="F22" i="65"/>
  <c r="F92" i="65"/>
  <c r="F10" i="65"/>
  <c r="F11" i="65"/>
  <c r="F81" i="65"/>
  <c r="F80" i="65"/>
  <c r="F118" i="65"/>
  <c r="F70" i="65"/>
  <c r="F33" i="65"/>
  <c r="F21" i="65"/>
  <c r="F9" i="65"/>
  <c r="F68" i="65"/>
  <c r="F56" i="65"/>
  <c r="F44" i="65"/>
  <c r="F32" i="65"/>
  <c r="F20" i="65"/>
  <c r="F8" i="65"/>
  <c r="F115" i="65"/>
  <c r="F103" i="65"/>
  <c r="F91" i="65"/>
  <c r="F79" i="65"/>
  <c r="F67" i="65"/>
  <c r="F55" i="65"/>
  <c r="F43" i="65"/>
  <c r="F31" i="65"/>
  <c r="F19" i="65"/>
  <c r="F7" i="65"/>
  <c r="F114" i="65"/>
  <c r="F102" i="65"/>
  <c r="F90" i="65"/>
  <c r="F78" i="65"/>
  <c r="F66" i="65"/>
  <c r="F54" i="65"/>
  <c r="F42" i="65"/>
  <c r="F30" i="65"/>
  <c r="F18" i="65"/>
  <c r="F6" i="65"/>
  <c r="F113" i="65"/>
  <c r="F101" i="65"/>
  <c r="F89" i="65"/>
  <c r="F77" i="65"/>
  <c r="F65" i="65"/>
  <c r="F53" i="65"/>
  <c r="F41" i="65"/>
  <c r="F29" i="65"/>
  <c r="F17" i="65"/>
  <c r="F5" i="65"/>
  <c r="F112" i="65"/>
  <c r="F100" i="65"/>
  <c r="F88" i="65"/>
  <c r="F76" i="65"/>
  <c r="F64" i="65"/>
  <c r="F52" i="65"/>
  <c r="F40" i="65"/>
  <c r="F28" i="65"/>
  <c r="F16" i="65"/>
  <c r="F4" i="65"/>
  <c r="F111" i="65"/>
  <c r="F99" i="65"/>
  <c r="F87" i="65"/>
  <c r="F75" i="65"/>
  <c r="F63" i="65"/>
  <c r="F51" i="65"/>
  <c r="F39" i="65"/>
  <c r="F27" i="65"/>
  <c r="F15" i="65"/>
  <c r="F3" i="65"/>
  <c r="F110" i="65"/>
  <c r="F98" i="65"/>
  <c r="F86" i="65"/>
  <c r="F74" i="65"/>
  <c r="F62" i="65"/>
  <c r="F50" i="65"/>
  <c r="F38" i="65"/>
  <c r="F26" i="65"/>
  <c r="F14" i="65"/>
  <c r="F2" i="65"/>
  <c r="F109" i="65"/>
  <c r="F97" i="65"/>
  <c r="F85" i="65"/>
  <c r="F73" i="65"/>
  <c r="F61" i="65"/>
  <c r="F49" i="65"/>
  <c r="F37" i="65"/>
  <c r="F25" i="65"/>
  <c r="F13" i="65"/>
  <c r="F120" i="65"/>
  <c r="F108" i="65"/>
  <c r="F96" i="65"/>
  <c r="F84" i="65"/>
  <c r="F72" i="65"/>
  <c r="F60" i="65"/>
  <c r="F48" i="65"/>
  <c r="F36" i="65"/>
  <c r="F24" i="65"/>
  <c r="F12" i="65"/>
  <c r="F119" i="65"/>
  <c r="F107" i="65"/>
  <c r="F95" i="65"/>
  <c r="F83" i="65"/>
  <c r="F71" i="65"/>
  <c r="F59" i="65"/>
  <c r="F47" i="65"/>
  <c r="F35" i="65"/>
  <c r="F23" i="65"/>
  <c r="R4" i="25" l="1"/>
  <c r="T4" i="25" s="1"/>
  <c r="H63" i="25" l="1"/>
  <c r="H62" i="25"/>
  <c r="G62" i="25"/>
  <c r="H61" i="25"/>
  <c r="G61" i="25"/>
  <c r="H60" i="25"/>
  <c r="G60" i="25"/>
  <c r="H59" i="25"/>
  <c r="G59" i="25"/>
  <c r="H58" i="25"/>
  <c r="G58" i="25"/>
  <c r="H57" i="25"/>
  <c r="G57" i="25"/>
  <c r="H56" i="25"/>
  <c r="G56" i="25"/>
  <c r="H55" i="25"/>
  <c r="G55" i="25"/>
  <c r="H54" i="25"/>
  <c r="G54" i="25"/>
  <c r="H53" i="25"/>
  <c r="G53" i="25"/>
  <c r="H52" i="25"/>
  <c r="G52" i="25"/>
  <c r="H51" i="25"/>
  <c r="G51" i="25"/>
  <c r="H50" i="25"/>
  <c r="G50" i="25"/>
  <c r="H49" i="25"/>
  <c r="G49" i="25"/>
  <c r="H48" i="25"/>
  <c r="G48" i="25"/>
  <c r="H47" i="25"/>
  <c r="G47" i="25"/>
  <c r="H46" i="25"/>
  <c r="G46" i="25"/>
  <c r="H45" i="25"/>
  <c r="G45" i="25"/>
  <c r="H44" i="25"/>
  <c r="G44" i="25"/>
  <c r="H43" i="25"/>
  <c r="G43" i="25"/>
  <c r="H42" i="25"/>
  <c r="G42" i="25"/>
  <c r="H41" i="25"/>
  <c r="G41" i="25"/>
  <c r="H40" i="25"/>
  <c r="G40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30" i="25"/>
  <c r="G30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2" i="25"/>
  <c r="G22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  <c r="H4" i="25"/>
  <c r="G4" i="25"/>
  <c r="H3" i="25"/>
  <c r="G3" i="25"/>
  <c r="H2" i="25"/>
  <c r="G2" i="25"/>
  <c r="K22" i="25" l="1"/>
  <c r="V53" i="25"/>
  <c r="T54" i="25"/>
  <c r="R57" i="25"/>
  <c r="V52" i="25"/>
  <c r="T53" i="25"/>
  <c r="R56" i="25"/>
  <c r="R44" i="25"/>
  <c r="T52" i="25"/>
  <c r="V51" i="25"/>
  <c r="V50" i="25"/>
  <c r="T51" i="25"/>
  <c r="R54" i="25"/>
  <c r="V49" i="25"/>
  <c r="T50" i="25"/>
  <c r="R53" i="25"/>
  <c r="V48" i="25"/>
  <c r="T49" i="25"/>
  <c r="R52" i="25"/>
  <c r="V47" i="25"/>
  <c r="T48" i="25"/>
  <c r="R51" i="25"/>
  <c r="R43" i="25"/>
  <c r="V46" i="25"/>
  <c r="T47" i="25"/>
  <c r="R50" i="25"/>
  <c r="V57" i="25"/>
  <c r="V45" i="25"/>
  <c r="T46" i="25"/>
  <c r="R49" i="25"/>
  <c r="R55" i="25"/>
  <c r="V56" i="25"/>
  <c r="V44" i="25"/>
  <c r="T45" i="25"/>
  <c r="R48" i="25"/>
  <c r="V55" i="25"/>
  <c r="V43" i="25"/>
  <c r="T44" i="25"/>
  <c r="R47" i="25"/>
  <c r="V54" i="25"/>
  <c r="T55" i="25"/>
  <c r="T43" i="25"/>
  <c r="R46" i="25"/>
  <c r="R45" i="25"/>
  <c r="O54" i="25"/>
  <c r="M51" i="25"/>
  <c r="O56" i="25"/>
  <c r="O55" i="25"/>
  <c r="M52" i="25"/>
  <c r="K52" i="25"/>
  <c r="O45" i="25"/>
  <c r="O57" i="25"/>
  <c r="M54" i="25"/>
  <c r="K54" i="25"/>
  <c r="K56" i="25"/>
  <c r="M46" i="25"/>
  <c r="O46" i="25"/>
  <c r="O44" i="25"/>
  <c r="M55" i="25"/>
  <c r="K55" i="25"/>
  <c r="M44" i="25"/>
  <c r="K57" i="25"/>
  <c r="O43" i="25"/>
  <c r="O47" i="25"/>
  <c r="M43" i="25"/>
  <c r="K46" i="25"/>
  <c r="O48" i="25"/>
  <c r="M45" i="25"/>
  <c r="K45" i="25"/>
  <c r="K44" i="25"/>
  <c r="O49" i="25"/>
  <c r="O50" i="25"/>
  <c r="M47" i="25"/>
  <c r="K47" i="25"/>
  <c r="K43" i="25"/>
  <c r="O51" i="25"/>
  <c r="M48" i="25"/>
  <c r="K48" i="25"/>
  <c r="O52" i="25"/>
  <c r="K49" i="25"/>
  <c r="M53" i="25"/>
  <c r="M49" i="25"/>
  <c r="K53" i="25"/>
  <c r="O53" i="25"/>
  <c r="M50" i="25"/>
  <c r="K50" i="25"/>
  <c r="K51" i="25"/>
  <c r="K29" i="25"/>
  <c r="K21" i="25"/>
  <c r="K25" i="25"/>
  <c r="L35" i="25"/>
  <c r="K35" i="25"/>
  <c r="L34" i="25"/>
  <c r="L36" i="25"/>
  <c r="K19" i="25"/>
  <c r="K23" i="25"/>
  <c r="K31" i="25"/>
  <c r="S36" i="25"/>
  <c r="R31" i="25"/>
  <c r="R30" i="25"/>
  <c r="R29" i="25"/>
  <c r="R28" i="25"/>
  <c r="R26" i="25"/>
  <c r="R25" i="25"/>
  <c r="R24" i="25"/>
  <c r="R23" i="25"/>
  <c r="R22" i="25"/>
  <c r="S34" i="25"/>
  <c r="S4" i="25"/>
  <c r="R34" i="25"/>
  <c r="R21" i="25"/>
  <c r="R20" i="25"/>
  <c r="R19" i="25"/>
  <c r="K20" i="25"/>
  <c r="K24" i="25"/>
  <c r="K28" i="25"/>
  <c r="K34" i="25"/>
  <c r="K26" i="25"/>
  <c r="K30" i="25"/>
  <c r="T34" i="25" l="1"/>
  <c r="U4" i="25"/>
  <c r="V4" i="25" s="1"/>
  <c r="K27" i="25"/>
  <c r="Q13" i="25"/>
  <c r="Q5" i="25"/>
  <c r="Q9" i="25"/>
  <c r="Q12" i="25"/>
  <c r="Q14" i="25"/>
  <c r="Q11" i="25"/>
  <c r="Q10" i="25"/>
  <c r="Q8" i="25"/>
  <c r="Q7" i="25"/>
  <c r="Q6" i="25"/>
  <c r="J8" i="25"/>
  <c r="J7" i="25"/>
  <c r="J9" i="25"/>
  <c r="J14" i="25"/>
  <c r="J12" i="25"/>
  <c r="J11" i="25"/>
  <c r="J5" i="25"/>
  <c r="J13" i="25"/>
  <c r="J6" i="25"/>
  <c r="J10" i="25"/>
  <c r="J4" i="25"/>
  <c r="R27" i="25"/>
  <c r="U34" i="25"/>
  <c r="M34" i="25"/>
  <c r="N34" i="25" s="1"/>
  <c r="T36" i="25"/>
  <c r="U36" i="25" s="1"/>
  <c r="L40" i="25"/>
  <c r="K40" i="25"/>
  <c r="L41" i="25"/>
  <c r="L39" i="25"/>
  <c r="K41" i="25"/>
  <c r="K39" i="25"/>
  <c r="M35" i="25"/>
  <c r="N35" i="25" s="1"/>
  <c r="S40" i="25"/>
  <c r="R40" i="25"/>
  <c r="S41" i="25"/>
  <c r="S39" i="25"/>
  <c r="R41" i="25"/>
  <c r="R39" i="25"/>
  <c r="M36" i="25"/>
  <c r="N36" i="25" s="1"/>
  <c r="T41" i="25" l="1"/>
  <c r="U41" i="25" s="1"/>
  <c r="K9" i="25"/>
  <c r="M10" i="25"/>
  <c r="L9" i="25"/>
  <c r="N9" i="25" s="1"/>
  <c r="T14" i="25"/>
  <c r="R13" i="25"/>
  <c r="S13" i="25"/>
  <c r="U13" i="25" s="1"/>
  <c r="M41" i="25"/>
  <c r="N41" i="25" s="1"/>
  <c r="K7" i="25"/>
  <c r="M8" i="25"/>
  <c r="L7" i="25"/>
  <c r="N7" i="25" s="1"/>
  <c r="K8" i="25"/>
  <c r="M9" i="25"/>
  <c r="L8" i="25"/>
  <c r="N8" i="25" s="1"/>
  <c r="T7" i="25"/>
  <c r="R6" i="25"/>
  <c r="S6" i="25"/>
  <c r="U6" i="25" s="1"/>
  <c r="M5" i="25"/>
  <c r="M4" i="25"/>
  <c r="K4" i="25"/>
  <c r="L4" i="25"/>
  <c r="N4" i="25" s="1"/>
  <c r="O4" i="25" s="1"/>
  <c r="R7" i="25"/>
  <c r="T8" i="25"/>
  <c r="S7" i="25"/>
  <c r="U7" i="25" s="1"/>
  <c r="M14" i="25"/>
  <c r="K13" i="25"/>
  <c r="L13" i="25"/>
  <c r="N13" i="25" s="1"/>
  <c r="T12" i="25"/>
  <c r="R11" i="25"/>
  <c r="S11" i="25"/>
  <c r="U11" i="25" s="1"/>
  <c r="K10" i="25"/>
  <c r="M11" i="25"/>
  <c r="L10" i="25"/>
  <c r="N10" i="25" s="1"/>
  <c r="K6" i="25"/>
  <c r="M7" i="25"/>
  <c r="L6" i="25"/>
  <c r="N6" i="25" s="1"/>
  <c r="R10" i="25"/>
  <c r="T11" i="25"/>
  <c r="S10" i="25"/>
  <c r="U10" i="25" s="1"/>
  <c r="K5" i="25"/>
  <c r="M6" i="25"/>
  <c r="L5" i="25"/>
  <c r="N5" i="25" s="1"/>
  <c r="O5" i="25" s="1"/>
  <c r="R14" i="25"/>
  <c r="T15" i="25"/>
  <c r="S15" i="25"/>
  <c r="U15" i="25" s="1"/>
  <c r="S14" i="25"/>
  <c r="U14" i="25" s="1"/>
  <c r="R8" i="25"/>
  <c r="T9" i="25"/>
  <c r="S8" i="25"/>
  <c r="U8" i="25" s="1"/>
  <c r="K11" i="25"/>
  <c r="M12" i="25"/>
  <c r="L11" i="25"/>
  <c r="N11" i="25" s="1"/>
  <c r="T13" i="25"/>
  <c r="R12" i="25"/>
  <c r="S12" i="25"/>
  <c r="U12" i="25" s="1"/>
  <c r="M13" i="25"/>
  <c r="K12" i="25"/>
  <c r="L12" i="25"/>
  <c r="N12" i="25" s="1"/>
  <c r="R9" i="25"/>
  <c r="T10" i="25"/>
  <c r="S9" i="25"/>
  <c r="U9" i="25" s="1"/>
  <c r="M15" i="25"/>
  <c r="K14" i="25"/>
  <c r="L15" i="25"/>
  <c r="N15" i="25" s="1"/>
  <c r="L14" i="25"/>
  <c r="N14" i="25" s="1"/>
  <c r="R5" i="25"/>
  <c r="T6" i="25"/>
  <c r="T5" i="25"/>
  <c r="S5" i="25"/>
  <c r="U5" i="25" s="1"/>
  <c r="V5" i="25" s="1"/>
  <c r="T39" i="25"/>
  <c r="U39" i="25" s="1"/>
  <c r="T40" i="25"/>
  <c r="U40" i="25" s="1"/>
  <c r="M39" i="25"/>
  <c r="N39" i="25" s="1"/>
  <c r="M40" i="25"/>
  <c r="N40" i="25" s="1"/>
  <c r="V6" i="25" l="1"/>
  <c r="V7" i="25"/>
  <c r="V8" i="25" s="1"/>
  <c r="V9" i="25" s="1"/>
  <c r="V10" i="25" s="1"/>
  <c r="V11" i="25" s="1"/>
  <c r="V12" i="25" s="1"/>
  <c r="V13" i="25" s="1"/>
  <c r="V14" i="25" s="1"/>
  <c r="V15" i="25" s="1"/>
  <c r="O6" i="25"/>
  <c r="O7" i="25" s="1"/>
  <c r="O8" i="25" s="1"/>
  <c r="O9" i="25" s="1"/>
  <c r="O10" i="25" s="1"/>
  <c r="O11" i="25" s="1"/>
  <c r="O12" i="25" s="1"/>
  <c r="O13" i="25" s="1"/>
  <c r="O14" i="25" s="1"/>
  <c r="O15" i="25" s="1"/>
  <c r="K46" i="65" l="1"/>
  <c r="J34" i="65"/>
  <c r="K49" i="65"/>
  <c r="I44" i="65"/>
  <c r="M45" i="65"/>
  <c r="M56" i="65"/>
  <c r="M54" i="65"/>
  <c r="M47" i="65"/>
  <c r="M46" i="65"/>
  <c r="K48" i="65"/>
  <c r="I23" i="65"/>
  <c r="K43" i="65"/>
  <c r="M50" i="65"/>
  <c r="I30" i="65"/>
  <c r="I28" i="65"/>
  <c r="I52" i="65"/>
  <c r="M44" i="65"/>
  <c r="I57" i="65"/>
  <c r="M55" i="65"/>
  <c r="I21" i="65"/>
  <c r="I26" i="65"/>
  <c r="K50" i="65"/>
  <c r="I49" i="65"/>
  <c r="K54" i="65"/>
  <c r="I46" i="65"/>
  <c r="I24" i="65"/>
  <c r="I45" i="65"/>
  <c r="J35" i="65"/>
  <c r="K51" i="65"/>
  <c r="M43" i="65"/>
  <c r="I51" i="65"/>
  <c r="I48" i="65"/>
  <c r="I54" i="65"/>
  <c r="M49" i="65"/>
  <c r="I20" i="65"/>
  <c r="K45" i="65"/>
  <c r="M48" i="65"/>
  <c r="K44" i="65"/>
  <c r="I34" i="65"/>
  <c r="I29" i="65"/>
  <c r="K52" i="65"/>
  <c r="I53" i="65"/>
  <c r="M51" i="65"/>
  <c r="M53" i="65"/>
  <c r="M52" i="65"/>
  <c r="I55" i="65"/>
  <c r="I56" i="65"/>
  <c r="K53" i="65"/>
  <c r="I47" i="65"/>
  <c r="M57" i="65"/>
  <c r="K55" i="65"/>
  <c r="I22" i="65"/>
  <c r="I50" i="65"/>
  <c r="I31" i="65"/>
  <c r="I25" i="65"/>
  <c r="K47" i="65"/>
  <c r="I19" i="65"/>
  <c r="I43" i="65"/>
  <c r="I35" i="65"/>
  <c r="J36" i="65"/>
  <c r="I27" i="65" l="1"/>
  <c r="K35" i="65"/>
  <c r="L35" i="65" s="1"/>
  <c r="H13" i="65"/>
  <c r="H7" i="65"/>
  <c r="H11" i="65"/>
  <c r="J40" i="65"/>
  <c r="I41" i="65"/>
  <c r="K41" i="65" s="1"/>
  <c r="L41" i="65" s="1"/>
  <c r="H4" i="65"/>
  <c r="H9" i="65"/>
  <c r="H6" i="65"/>
  <c r="H12" i="65"/>
  <c r="I40" i="65"/>
  <c r="K40" i="65" s="1"/>
  <c r="L40" i="65" s="1"/>
  <c r="J39" i="65"/>
  <c r="H10" i="65"/>
  <c r="I39" i="65"/>
  <c r="J41" i="65"/>
  <c r="H14" i="65"/>
  <c r="H8" i="65"/>
  <c r="H5" i="65"/>
  <c r="K36" i="65"/>
  <c r="L36" i="65" s="1"/>
  <c r="K34" i="65"/>
  <c r="L34" i="65" s="1"/>
  <c r="I10" i="65" l="1"/>
  <c r="K11" i="65"/>
  <c r="J10" i="65"/>
  <c r="L10" i="65" s="1"/>
  <c r="K10" i="65"/>
  <c r="I9" i="65"/>
  <c r="J9" i="65"/>
  <c r="L9" i="65" s="1"/>
  <c r="K5" i="65"/>
  <c r="J4" i="65"/>
  <c r="L4" i="65" s="1"/>
  <c r="M4" i="65" s="1"/>
  <c r="K4" i="65"/>
  <c r="I4" i="65"/>
  <c r="I5" i="65"/>
  <c r="J5" i="65"/>
  <c r="L5" i="65" s="1"/>
  <c r="K6" i="65"/>
  <c r="J8" i="65"/>
  <c r="L8" i="65" s="1"/>
  <c r="I8" i="65"/>
  <c r="K9" i="65"/>
  <c r="J12" i="65"/>
  <c r="L12" i="65" s="1"/>
  <c r="K13" i="65"/>
  <c r="I12" i="65"/>
  <c r="I14" i="65"/>
  <c r="K15" i="65"/>
  <c r="J14" i="65"/>
  <c r="L14" i="65" s="1"/>
  <c r="J15" i="65"/>
  <c r="L15" i="65" s="1"/>
  <c r="J11" i="65"/>
  <c r="L11" i="65" s="1"/>
  <c r="K12" i="65"/>
  <c r="I11" i="65"/>
  <c r="I6" i="65"/>
  <c r="J6" i="65"/>
  <c r="L6" i="65" s="1"/>
  <c r="K7" i="65"/>
  <c r="J7" i="65"/>
  <c r="L7" i="65" s="1"/>
  <c r="I7" i="65"/>
  <c r="K8" i="65"/>
  <c r="K39" i="65"/>
  <c r="L39" i="65" s="1"/>
  <c r="I13" i="65"/>
  <c r="K14" i="65"/>
  <c r="J13" i="65"/>
  <c r="L13" i="65" s="1"/>
  <c r="M5" i="65" l="1"/>
  <c r="M6" i="65" s="1"/>
  <c r="M7" i="65" s="1"/>
  <c r="M8" i="65" s="1"/>
  <c r="M9" i="65" s="1"/>
  <c r="M10" i="65" s="1"/>
  <c r="M11" i="65" s="1"/>
  <c r="M12" i="65" s="1"/>
  <c r="M13" i="65" s="1"/>
  <c r="M14" i="65" s="1"/>
  <c r="M15" i="65" s="1"/>
</calcChain>
</file>

<file path=xl/sharedStrings.xml><?xml version="1.0" encoding="utf-8"?>
<sst xmlns="http://schemas.openxmlformats.org/spreadsheetml/2006/main" count="133" uniqueCount="57">
  <si>
    <t>Date</t>
  </si>
  <si>
    <t>Open</t>
  </si>
  <si>
    <t>High</t>
  </si>
  <si>
    <t>Low</t>
  </si>
  <si>
    <t>Close</t>
  </si>
  <si>
    <t>Adj Close</t>
  </si>
  <si>
    <t>Intervals</t>
  </si>
  <si>
    <t>Bin</t>
  </si>
  <si>
    <t>Frequency</t>
  </si>
  <si>
    <t>Range</t>
  </si>
  <si>
    <t>More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</si>
  <si>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</si>
  <si>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</si>
  <si>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</si>
  <si>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</si>
  <si>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</si>
  <si>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</si>
  <si>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</si>
  <si>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</si>
  <si>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Minimum</t>
  </si>
  <si>
    <t>Maximum</t>
  </si>
  <si>
    <t>Sum</t>
  </si>
  <si>
    <t>Count</t>
  </si>
  <si>
    <t>Probability</t>
  </si>
  <si>
    <t>Cumulative Percentage</t>
  </si>
  <si>
    <t>Std Dev</t>
  </si>
  <si>
    <t>Positive Data Points</t>
  </si>
  <si>
    <t>Negative Data Points</t>
  </si>
  <si>
    <t>Frequency %</t>
  </si>
  <si>
    <t>Average Returns</t>
  </si>
  <si>
    <t>Frequency Adjusted Return</t>
  </si>
  <si>
    <t>Zero</t>
  </si>
  <si>
    <t>Upper Bound</t>
  </si>
  <si>
    <t>Lower Bound</t>
  </si>
  <si>
    <t>Actual Count</t>
  </si>
  <si>
    <t>Actual % Count</t>
  </si>
  <si>
    <t>Normal % Count</t>
  </si>
  <si>
    <t>Descriptive Statistics</t>
  </si>
  <si>
    <t>C-C Returns</t>
  </si>
  <si>
    <t>H-L Returns</t>
  </si>
  <si>
    <t>Adjusted Close to Adjusted Close Monthly Returns</t>
  </si>
  <si>
    <t>High to Low Monthly Returns</t>
  </si>
  <si>
    <t>Percentiles</t>
  </si>
  <si>
    <t>Current Price</t>
  </si>
  <si>
    <t>Stop %</t>
  </si>
  <si>
    <t>Target %</t>
  </si>
  <si>
    <t>Stop Price</t>
  </si>
  <si>
    <t>Target Price</t>
  </si>
  <si>
    <t>ZNGA</t>
  </si>
  <si>
    <t>ALGN</t>
  </si>
  <si>
    <t>Spread Returns</t>
  </si>
  <si>
    <t>Long Weight</t>
  </si>
  <si>
    <t>Short Weight</t>
  </si>
  <si>
    <t>Long Gross Exposure</t>
  </si>
  <si>
    <t>Short Gross Exposure</t>
  </si>
  <si>
    <t>$ Stop Loss</t>
  </si>
  <si>
    <t>$ Target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</si>
</sst>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97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1">
    <xf numFmtId="0" fontId="0" fillId="0" borderId="0" xfId="0"/>
    <xf numFmtId="0" fontId="16" fillId="0" borderId="0" xfId="0" applyFont="1"/>
    <xf numFmtId="165" fontId="16" fillId="0" borderId="0" xfId="0" applyNumberFormat="1" applyFont="1" applyAlignment="1">
      <alignment horizontal="center"/>
    </xf>
    <xf numFmtId="164" fontId="16" fillId="0" borderId="0" xfId="0" applyNumberFormat="1" applyFont="1"/>
    <xf numFmtId="0" fontId="0" fillId="34" borderId="29" xfId="0" applyFill="1" applyBorder="1"/>
    <xf numFmtId="165" fontId="0" fillId="0" borderId="0" xfId="0" applyNumberFormat="1"/>
    <xf numFmtId="164" fontId="0" fillId="0" borderId="0" xfId="0" applyNumberFormat="1"/>
    <xf numFmtId="0" fontId="19" fillId="36" borderId="30" xfId="0" applyFont="1" applyFill="1" applyBorder="1"/>
    <xf numFmtId="0" fontId="19" fillId="36" borderId="10" xfId="0" applyFont="1" applyFill="1" applyBorder="1"/>
    <xf numFmtId="0" fontId="19" fillId="36" borderId="31" xfId="0" applyFont="1" applyFill="1" applyBorder="1"/>
    <xf numFmtId="0" fontId="0" fillId="34" borderId="32" xfId="0" applyFill="1" applyBorder="1"/>
    <xf numFmtId="0" fontId="19" fillId="36" borderId="21" xfId="0" applyFont="1" applyFill="1" applyBorder="1"/>
    <xf numFmtId="0" fontId="20" fillId="36" borderId="24" xfId="0" applyFont="1" applyFill="1" applyBorder="1" applyAlignment="1">
      <alignment horizontal="center"/>
    </xf>
    <xf numFmtId="0" fontId="19" fillId="36" borderId="22" xfId="0" applyFont="1" applyFill="1" applyBorder="1"/>
    <xf numFmtId="0" fontId="19" fillId="36" borderId="23" xfId="0" applyFont="1" applyFill="1" applyBorder="1"/>
    <xf numFmtId="0" fontId="19" fillId="36" borderId="13" xfId="0" applyFont="1" applyFill="1" applyBorder="1"/>
    <xf numFmtId="10" fontId="19" fillId="36" borderId="13" xfId="0" applyNumberFormat="1" applyFont="1" applyFill="1" applyBorder="1"/>
    <xf numFmtId="10" fontId="19" fillId="36" borderId="14" xfId="0" applyNumberFormat="1" applyFont="1" applyFill="1" applyBorder="1"/>
    <xf numFmtId="10" fontId="0" fillId="34" borderId="32" xfId="0" applyNumberFormat="1" applyFill="1" applyBorder="1"/>
    <xf numFmtId="0" fontId="19" fillId="36" borderId="12" xfId="0" applyFont="1" applyFill="1" applyBorder="1"/>
    <xf numFmtId="10" fontId="19" fillId="36" borderId="12" xfId="0" applyNumberFormat="1" applyFont="1" applyFill="1" applyBorder="1"/>
    <xf numFmtId="10" fontId="19" fillId="36" borderId="15" xfId="0" applyNumberFormat="1" applyFont="1" applyFill="1" applyBorder="1"/>
    <xf numFmtId="0" fontId="19" fillId="36" borderId="19" xfId="0" applyFont="1" applyFill="1" applyBorder="1"/>
    <xf numFmtId="0" fontId="19" fillId="36" borderId="16" xfId="0" applyFont="1" applyFill="1" applyBorder="1"/>
    <xf numFmtId="10" fontId="19" fillId="36" borderId="16" xfId="0" applyNumberFormat="1" applyFont="1" applyFill="1" applyBorder="1"/>
    <xf numFmtId="10" fontId="19" fillId="36" borderId="17" xfId="0" applyNumberFormat="1" applyFont="1" applyFill="1" applyBorder="1"/>
    <xf numFmtId="0" fontId="19" fillId="36" borderId="33" xfId="0" applyFont="1" applyFill="1" applyBorder="1"/>
    <xf numFmtId="0" fontId="19" fillId="36" borderId="0" xfId="0" applyFont="1" applyFill="1"/>
    <xf numFmtId="0" fontId="19" fillId="36" borderId="34" xfId="0" applyFont="1" applyFill="1" applyBorder="1"/>
    <xf numFmtId="0" fontId="20" fillId="36" borderId="35" xfId="0" applyFont="1" applyFill="1" applyBorder="1" applyAlignment="1">
      <alignment horizontal="centerContinuous"/>
    </xf>
    <xf numFmtId="0" fontId="20" fillId="36" borderId="11" xfId="0" applyFont="1" applyFill="1" applyBorder="1" applyAlignment="1">
      <alignment horizontal="centerContinuous"/>
    </xf>
    <xf numFmtId="164" fontId="19" fillId="36" borderId="0" xfId="0" applyNumberFormat="1" applyFont="1" applyFill="1"/>
    <xf numFmtId="49" fontId="19" fillId="36" borderId="0" xfId="0" applyNumberFormat="1" applyFont="1" applyFill="1"/>
    <xf numFmtId="2" fontId="19" fillId="36" borderId="0" xfId="0" applyNumberFormat="1" applyFont="1" applyFill="1"/>
    <xf numFmtId="0" fontId="19" fillId="36" borderId="20" xfId="0" applyFont="1" applyFill="1" applyBorder="1"/>
    <xf numFmtId="0" fontId="21" fillId="36" borderId="13" xfId="0" applyFont="1" applyFill="1" applyBorder="1"/>
    <xf numFmtId="0" fontId="21" fillId="36" borderId="14" xfId="0" applyFont="1" applyFill="1" applyBorder="1"/>
    <xf numFmtId="0" fontId="21" fillId="36" borderId="18" xfId="0" applyFont="1" applyFill="1" applyBorder="1"/>
    <xf numFmtId="0" fontId="21" fillId="36" borderId="19" xfId="0" applyFont="1" applyFill="1" applyBorder="1"/>
    <xf numFmtId="0" fontId="21" fillId="36" borderId="20" xfId="0" applyFont="1" applyFill="1" applyBorder="1"/>
    <xf numFmtId="0" fontId="19" fillId="36" borderId="18" xfId="0" applyFont="1" applyFill="1" applyBorder="1"/>
    <xf numFmtId="0" fontId="0" fillId="34" borderId="36" xfId="0" applyFill="1" applyBorder="1"/>
    <xf numFmtId="0" fontId="19" fillId="0" borderId="0" xfId="0" applyFont="1"/>
    <xf numFmtId="0" fontId="19" fillId="36" borderId="25" xfId="0" applyFont="1" applyFill="1" applyBorder="1"/>
    <xf numFmtId="10" fontId="19" fillId="36" borderId="37" xfId="0" applyNumberFormat="1" applyFont="1" applyFill="1" applyBorder="1"/>
    <xf numFmtId="0" fontId="19" fillId="36" borderId="12" xfId="0" quotePrefix="1" applyFont="1" applyFill="1" applyBorder="1"/>
    <xf numFmtId="15" fontId="16" fillId="0" borderId="0" xfId="0" applyNumberFormat="1" applyFont="1" applyAlignment="1">
      <alignment horizontal="center"/>
    </xf>
    <xf numFmtId="15" fontId="0" fillId="0" borderId="0" xfId="0" applyNumberFormat="1"/>
    <xf numFmtId="166" fontId="19" fillId="36" borderId="20" xfId="0" applyNumberFormat="1" applyFont="1" applyFill="1" applyBorder="1"/>
    <xf numFmtId="166" fontId="19" fillId="36" borderId="18" xfId="0" applyNumberFormat="1" applyFont="1" applyFill="1" applyBorder="1"/>
    <xf numFmtId="166" fontId="19" fillId="36" borderId="13" xfId="0" applyNumberFormat="1" applyFont="1" applyFill="1" applyBorder="1"/>
    <xf numFmtId="166" fontId="19" fillId="36" borderId="12" xfId="0" applyNumberFormat="1" applyFont="1" applyFill="1" applyBorder="1"/>
    <xf numFmtId="0" fontId="19" fillId="36" borderId="38" xfId="0" applyFont="1" applyFill="1" applyBorder="1"/>
    <xf numFmtId="10" fontId="19" fillId="36" borderId="39" xfId="0" applyNumberFormat="1" applyFont="1" applyFill="1" applyBorder="1"/>
    <xf numFmtId="0" fontId="19" fillId="36" borderId="39" xfId="0" applyFont="1" applyFill="1" applyBorder="1"/>
    <xf numFmtId="10" fontId="19" fillId="36" borderId="40" xfId="0" applyNumberFormat="1" applyFont="1" applyFill="1" applyBorder="1"/>
    <xf numFmtId="9" fontId="21" fillId="36" borderId="33" xfId="0" applyNumberFormat="1" applyFont="1" applyFill="1" applyBorder="1"/>
    <xf numFmtId="10" fontId="0" fillId="36" borderId="42" xfId="0" applyNumberFormat="1" applyFill="1" applyBorder="1" applyAlignment="1">
      <alignment horizontal="centerContinuous"/>
    </xf>
    <xf numFmtId="9" fontId="21" fillId="36" borderId="41" xfId="0" applyNumberFormat="1" applyFont="1" applyFill="1" applyBorder="1"/>
    <xf numFmtId="10" fontId="0" fillId="36" borderId="34" xfId="0" applyNumberFormat="1" applyFill="1" applyBorder="1" applyAlignment="1">
      <alignment horizontal="centerContinuous"/>
    </xf>
    <xf numFmtId="9" fontId="21" fillId="36" borderId="30" xfId="0" applyNumberFormat="1" applyFont="1" applyFill="1" applyBorder="1"/>
    <xf numFmtId="10" fontId="0" fillId="36" borderId="43" xfId="0" applyNumberFormat="1" applyFill="1" applyBorder="1" applyAlignment="1">
      <alignment horizontal="centerContinuous"/>
    </xf>
    <xf numFmtId="0" fontId="19" fillId="36" borderId="44" xfId="0" applyFont="1" applyFill="1" applyBorder="1"/>
    <xf numFmtId="0" fontId="0" fillId="36" borderId="43" xfId="0" applyFill="1" applyBorder="1"/>
    <xf numFmtId="9" fontId="21" fillId="36" borderId="44" xfId="0" applyNumberFormat="1" applyFont="1" applyFill="1" applyBorder="1"/>
    <xf numFmtId="10" fontId="0" fillId="36" borderId="31" xfId="0" applyNumberFormat="1" applyFill="1" applyBorder="1" applyAlignment="1">
      <alignment horizontal="centerContinuous"/>
    </xf>
    <xf numFmtId="9" fontId="21" fillId="36" borderId="46" xfId="0" applyNumberFormat="1" applyFont="1" applyFill="1" applyBorder="1"/>
    <xf numFmtId="10" fontId="0" fillId="36" borderId="47" xfId="0" applyNumberFormat="1" applyFill="1" applyBorder="1" applyAlignment="1">
      <alignment horizontal="centerContinuous"/>
    </xf>
    <xf numFmtId="9" fontId="21" fillId="36" borderId="48" xfId="0" applyNumberFormat="1" applyFont="1" applyFill="1" applyBorder="1"/>
    <xf numFmtId="10" fontId="0" fillId="36" borderId="45" xfId="0" applyNumberFormat="1" applyFill="1" applyBorder="1" applyAlignment="1">
      <alignment horizontal="centerContinuous"/>
    </xf>
    <xf numFmtId="0" fontId="21" fillId="0" borderId="20" xfId="0" applyFont="1" applyBorder="1"/>
    <xf numFmtId="0" fontId="21" fillId="0" borderId="18" xfId="0" applyFont="1" applyBorder="1"/>
    <xf numFmtId="0" fontId="21" fillId="0" borderId="19" xfId="0" applyFon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7" xfId="0" applyNumberFormat="1" applyBorder="1"/>
    <xf numFmtId="9" fontId="9" fillId="5" borderId="14" xfId="9" applyNumberFormat="1" applyBorder="1"/>
    <xf numFmtId="9" fontId="9" fillId="5" borderId="17" xfId="9" applyNumberFormat="1" applyBorder="1"/>
    <xf numFmtId="2" fontId="9" fillId="5" borderId="14" xfId="9" applyNumberFormat="1" applyBorder="1"/>
    <xf numFmtId="0" fontId="9" fillId="5" borderId="14" xfId="9" applyBorder="1"/>
    <xf numFmtId="0" fontId="9" fillId="5" borderId="15" xfId="9" applyBorder="1"/>
    <xf numFmtId="0" fontId="16" fillId="0" borderId="20" xfId="0" applyFont="1" applyBorder="1"/>
    <xf numFmtId="0" fontId="16" fillId="0" borderId="18" xfId="0" applyFont="1" applyBorder="1"/>
    <xf numFmtId="0" fontId="16" fillId="0" borderId="19" xfId="0" applyFont="1" applyBorder="1"/>
    <xf numFmtId="10" fontId="0" fillId="0" borderId="15" xfId="0" applyNumberFormat="1" applyBorder="1"/>
    <xf numFmtId="10" fontId="0" fillId="0" borderId="17" xfId="0" applyNumberFormat="1" applyBorder="1"/>
    <xf numFmtId="165" fontId="16" fillId="37" borderId="0" xfId="0" applyNumberFormat="1" applyFont="1" applyFill="1" applyAlignment="1">
      <alignment horizontal="center"/>
    </xf>
    <xf numFmtId="165" fontId="16" fillId="38" borderId="0" xfId="0" applyNumberFormat="1" applyFont="1" applyFill="1" applyAlignment="1">
      <alignment horizontal="center"/>
    </xf>
    <xf numFmtId="2" fontId="0" fillId="0" borderId="0" xfId="0" applyNumberFormat="1"/>
    <xf numFmtId="0" fontId="18" fillId="33" borderId="26" xfId="0" applyFont="1" applyFill="1" applyBorder="1" applyAlignment="1">
      <alignment horizontal="center"/>
    </xf>
    <xf numFmtId="0" fontId="18" fillId="33" borderId="27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18" fillId="35" borderId="26" xfId="0" applyFont="1" applyFill="1" applyBorder="1" applyAlignment="1">
      <alignment horizontal="center"/>
    </xf>
    <xf numFmtId="0" fontId="18" fillId="35" borderId="27" xfId="0" applyFont="1" applyFill="1" applyBorder="1" applyAlignment="1">
      <alignment horizontal="center"/>
    </xf>
    <xf numFmtId="0" fontId="18" fillId="35" borderId="28" xfId="0" applyFont="1" applyFill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14" fontId="0" fillId="0" borderId="0" xfId="0" applyNumberFormat="1"/>
    <xf numFmtId="10" fontId="9" fillId="5" borderId="14" xfId="9" applyNumberFormat="1" applyBorder="1"/>
    <xf numFmtId="10" fontId="9" fillId="5" borderId="17" xfId="9" applyNumberFormat="1" applyBorder="1"/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7979"/>
      <color rgb="FFFF5050"/>
      <color rgb="FF66FF66"/>
      <color rgb="FF00CC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0000"/>
              </a:schemeClr>
            </a:solidFill>
          </c:spPr>
          <c:invertIfNegative val="0"/>
          <c:cat>
            <c:strRef>
              <c:f>'Template Monthly DoR'!$M$4:$M$15</c:f>
              <c:strCache>
                <c:ptCount val="12"/>
                <c:pt idx="0">
                  <c:v>Less than -40.24%</c:v>
                </c:pt>
                <c:pt idx="1">
                  <c:v>-40.24% to -31.84%</c:v>
                </c:pt>
                <c:pt idx="2">
                  <c:v>-31.84% to -23.45%</c:v>
                </c:pt>
                <c:pt idx="3">
                  <c:v>-23.45% to -15.06%</c:v>
                </c:pt>
                <c:pt idx="4">
                  <c:v>-15.06% to -6.66%</c:v>
                </c:pt>
                <c:pt idx="5">
                  <c:v>-6.66% to 1.73%</c:v>
                </c:pt>
                <c:pt idx="6">
                  <c:v>1.73% to 10.13%</c:v>
                </c:pt>
                <c:pt idx="7">
                  <c:v>10.13% to 18.52%</c:v>
                </c:pt>
                <c:pt idx="8">
                  <c:v>18.52% to 26.91%</c:v>
                </c:pt>
                <c:pt idx="9">
                  <c:v>26.91% to 35.31%</c:v>
                </c:pt>
                <c:pt idx="10">
                  <c:v>35.31% to 43.70%</c:v>
                </c:pt>
                <c:pt idx="11">
                  <c:v>Greater than 43.70%</c:v>
                </c:pt>
              </c:strCache>
            </c:strRef>
          </c:cat>
          <c:val>
            <c:numRef>
              <c:f>'Template Monthly DoR'!$L$4:$L$15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13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4-430C-8C48-CC7D92B9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26144"/>
        <c:axId val="102061952"/>
      </c:barChart>
      <c:catAx>
        <c:axId val="92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Close to Close Monthly</a:t>
                </a:r>
                <a:r>
                  <a:rPr lang="en-GB" baseline="0">
                    <a:solidFill>
                      <a:schemeClr val="bg1"/>
                    </a:solidFill>
                  </a:rPr>
                  <a:t> Return Range</a:t>
                </a:r>
                <a:endParaRPr lang="en-GB">
                  <a:solidFill>
                    <a:schemeClr val="bg1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02061952"/>
        <c:crosses val="autoZero"/>
        <c:auto val="1"/>
        <c:lblAlgn val="ctr"/>
        <c:lblOffset val="100"/>
        <c:noMultiLvlLbl val="0"/>
      </c:catAx>
      <c:valAx>
        <c:axId val="102061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alpha val="1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Occurrences</a:t>
                </a:r>
              </a:p>
            </c:rich>
          </c:tx>
          <c:layout>
            <c:manualLayout>
              <c:xMode val="edge"/>
              <c:yMode val="edge"/>
              <c:x val="1.5896866707901958E-2"/>
              <c:y val="0.208226777648176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2326144"/>
        <c:crosses val="autoZero"/>
        <c:crossBetween val="between"/>
      </c:valAx>
      <c:spPr>
        <a:solidFill>
          <a:schemeClr val="tx1">
            <a:lumMod val="85000"/>
            <a:lumOff val="15000"/>
          </a:schemeClr>
        </a:solidFill>
      </c:spPr>
    </c:plotArea>
    <c:plotVisOnly val="1"/>
    <c:dispBlanksAs val="gap"/>
    <c:showDLblsOverMax val="0"/>
  </c:chart>
  <c:spPr>
    <a:solidFill>
      <a:schemeClr val="tx1">
        <a:lumMod val="85000"/>
        <a:lumOff val="1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0000"/>
              </a:schemeClr>
            </a:solidFill>
          </c:spPr>
          <c:invertIfNegative val="0"/>
          <c:cat>
            <c:strRef>
              <c:f>'Template Monthly DoR'!$T$4:$T$15</c:f>
              <c:strCache>
                <c:ptCount val="12"/>
                <c:pt idx="0">
                  <c:v>Equal to 0.00%</c:v>
                </c:pt>
                <c:pt idx="1">
                  <c:v>#DIV/0!</c:v>
                </c:pt>
                <c:pt idx="2">
                  <c:v>#DIV/0!</c:v>
                </c:pt>
                <c:pt idx="3">
                  <c:v>#DIV/0!</c:v>
                </c:pt>
                <c:pt idx="4">
                  <c:v>#DIV/0!</c:v>
                </c:pt>
                <c:pt idx="5">
                  <c:v>#DIV/0!</c:v>
                </c:pt>
                <c:pt idx="6">
                  <c:v>#DIV/0!</c:v>
                </c:pt>
                <c:pt idx="7">
                  <c:v>#DIV/0!</c:v>
                </c:pt>
                <c:pt idx="8">
                  <c:v>#DIV/0!</c:v>
                </c:pt>
                <c:pt idx="9">
                  <c:v>#DIV/0!</c:v>
                </c:pt>
                <c:pt idx="10">
                  <c:v>#DIV/0!</c:v>
                </c:pt>
                <c:pt idx="11">
                  <c:v>#DIV/0!</c:v>
                </c:pt>
              </c:strCache>
            </c:strRef>
          </c:cat>
          <c:val>
            <c:numRef>
              <c:f>'Template Monthly DoR'!$S$4:$S$15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4-4A2B-8E6D-82888F66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20"/>
        <c:axId val="92326144"/>
        <c:axId val="102061952"/>
      </c:barChart>
      <c:catAx>
        <c:axId val="92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High to Low Monthly</a:t>
                </a:r>
                <a:r>
                  <a:rPr lang="en-GB" baseline="0">
                    <a:solidFill>
                      <a:schemeClr val="bg1"/>
                    </a:solidFill>
                  </a:rPr>
                  <a:t> Return Range</a:t>
                </a:r>
                <a:endParaRPr lang="en-GB">
                  <a:solidFill>
                    <a:schemeClr val="bg1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02061952"/>
        <c:crosses val="autoZero"/>
        <c:auto val="1"/>
        <c:lblAlgn val="ctr"/>
        <c:lblOffset val="100"/>
        <c:noMultiLvlLbl val="0"/>
      </c:catAx>
      <c:valAx>
        <c:axId val="102061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alpha val="1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Occurrences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2326144"/>
        <c:crosses val="autoZero"/>
        <c:crossBetween val="between"/>
      </c:valAx>
      <c:spPr>
        <a:solidFill>
          <a:schemeClr val="tx1">
            <a:lumMod val="85000"/>
            <a:lumOff val="15000"/>
          </a:schemeClr>
        </a:solidFill>
      </c:spPr>
    </c:plotArea>
    <c:plotVisOnly val="1"/>
    <c:dispBlanksAs val="gap"/>
    <c:showDLblsOverMax val="0"/>
  </c:chart>
  <c:spPr>
    <a:solidFill>
      <a:schemeClr val="tx1">
        <a:lumMod val="85000"/>
        <a:lumOff val="15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0000"/>
              </a:schemeClr>
            </a:solidFill>
          </c:spPr>
          <c:invertIfNegative val="0"/>
          <c:cat>
            <c:strRef>
              <c:f>'Spread Template Monthly DoR'!$K$4:$K$15</c:f>
              <c:strCache>
                <c:ptCount val="12"/>
                <c:pt idx="0">
                  <c:v>Less than -23.38%</c:v>
                </c:pt>
                <c:pt idx="1">
                  <c:v>-23.38% to -19.01%</c:v>
                </c:pt>
                <c:pt idx="2">
                  <c:v>-19.01% to -14.64%</c:v>
                </c:pt>
                <c:pt idx="3">
                  <c:v>-14.64% to -10.26%</c:v>
                </c:pt>
                <c:pt idx="4">
                  <c:v>-10.26% to -5.89%</c:v>
                </c:pt>
                <c:pt idx="5">
                  <c:v>-5.89% to -1.52%</c:v>
                </c:pt>
                <c:pt idx="6">
                  <c:v>-1.52% to 2.86%</c:v>
                </c:pt>
                <c:pt idx="7">
                  <c:v>2.86% to 7.23%</c:v>
                </c:pt>
                <c:pt idx="8">
                  <c:v>7.23% to 11.60%</c:v>
                </c:pt>
                <c:pt idx="9">
                  <c:v>11.60% to 15.98%</c:v>
                </c:pt>
                <c:pt idx="10">
                  <c:v>15.98% to 20.35%</c:v>
                </c:pt>
                <c:pt idx="11">
                  <c:v>Greater than 20.35%</c:v>
                </c:pt>
              </c:strCache>
            </c:strRef>
          </c:cat>
          <c:val>
            <c:numRef>
              <c:f>'Spread Template Monthly DoR'!$J$4:$J$15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13</c:v>
                </c:pt>
                <c:pt idx="5">
                  <c:v>43</c:v>
                </c:pt>
                <c:pt idx="6">
                  <c:v>25</c:v>
                </c:pt>
                <c:pt idx="7">
                  <c:v>13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E-4405-9245-F04BA142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26144"/>
        <c:axId val="102061952"/>
      </c:barChart>
      <c:catAx>
        <c:axId val="92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Close to Close Monthly</a:t>
                </a:r>
                <a:r>
                  <a:rPr lang="en-GB" baseline="0">
                    <a:solidFill>
                      <a:schemeClr val="bg1"/>
                    </a:solidFill>
                  </a:rPr>
                  <a:t> Return Range</a:t>
                </a:r>
                <a:endParaRPr lang="en-GB">
                  <a:solidFill>
                    <a:schemeClr val="bg1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02061952"/>
        <c:crosses val="autoZero"/>
        <c:auto val="1"/>
        <c:lblAlgn val="ctr"/>
        <c:lblOffset val="100"/>
        <c:noMultiLvlLbl val="0"/>
      </c:catAx>
      <c:valAx>
        <c:axId val="102061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alpha val="1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GB">
                    <a:solidFill>
                      <a:schemeClr val="bg1"/>
                    </a:solidFill>
                  </a:rPr>
                  <a:t>Occurrences</a:t>
                </a:r>
              </a:p>
            </c:rich>
          </c:tx>
          <c:layout>
            <c:manualLayout>
              <c:xMode val="edge"/>
              <c:yMode val="edge"/>
              <c:x val="1.5896866707901958E-2"/>
              <c:y val="0.208226777648176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2326144"/>
        <c:crosses val="autoZero"/>
        <c:crossBetween val="between"/>
      </c:valAx>
      <c:spPr>
        <a:solidFill>
          <a:schemeClr val="tx1">
            <a:lumMod val="85000"/>
            <a:lumOff val="15000"/>
          </a:schemeClr>
        </a:solidFill>
      </c:spPr>
    </c:plotArea>
    <c:plotVisOnly val="1"/>
    <c:dispBlanksAs val="gap"/>
    <c:showDLblsOverMax val="0"/>
  </c:chart>
  <c:spPr>
    <a:solidFill>
      <a:schemeClr val="tx1">
        <a:lumMod val="85000"/>
        <a:lumOff val="1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122703</xdr:colOff>
      <xdr:row>15</xdr:row>
      <xdr:rowOff>186295</xdr:rowOff>
    </xdr:from>
    <xdr:to>
      <xdr:col>14</xdr:col>
      <xdr:colOff>1411941</xdr:colOff>
      <xdr:row>30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122703</xdr:colOff>
      <xdr:row>15</xdr:row>
      <xdr:rowOff>186295</xdr:rowOff>
    </xdr:from>
    <xdr:to>
      <xdr:col>21</xdr:col>
      <xdr:colOff>1411941</xdr:colOff>
      <xdr:row>30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122703</xdr:colOff>
      <xdr:row>15</xdr:row>
      <xdr:rowOff>186295</xdr:rowOff>
    </xdr:from>
    <xdr:to>
      <xdr:col>12</xdr:col>
      <xdr:colOff>1411941</xdr:colOff>
      <xdr:row>30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D3DFFC-86DC-4B0B-BA48-D34A7A053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4CA-D371-47FB-A74F-184DED69B5DD}">
  <sheetPr codeName="Sheet3"/>
  <dimension ref="A1:W252"/>
  <sheetViews>
    <sheetView tabSelected="1" topLeftCell="A17" zoomScale="85" zoomScaleNormal="85" workbookViewId="0">
      <selection activeCell="K59" sqref="K59"/>
    </sheetView>
  </sheetViews>
  <sheetFormatPr defaultRowHeight="14.25" x14ac:dyDescent="0.45"/>
  <cols>
    <col min="1" max="1" width="10.73046875" style="47" bestFit="1" customWidth="1"/>
    <col min="2" max="5" width="10.73046875" style="5" customWidth="1"/>
    <col min="6" max="6" width="9.1328125" style="5"/>
    <col min="7" max="7" width="13.59765625" style="6" bestFit="1" customWidth="1"/>
    <col min="8" max="8" width="13.59765625" style="6" customWidth="1"/>
    <col min="10" max="10" width="19.86328125" customWidth="1"/>
    <col min="11" max="11" width="17.265625" customWidth="1"/>
    <col min="12" max="13" width="19.1328125" customWidth="1"/>
    <col min="14" max="14" width="23.73046875" customWidth="1"/>
    <col min="15" max="15" width="22.3984375" bestFit="1" customWidth="1"/>
    <col min="16" max="16" width="4.265625" customWidth="1"/>
    <col min="17" max="17" width="19" customWidth="1"/>
    <col min="18" max="18" width="15.73046875" customWidth="1"/>
    <col min="19" max="19" width="20.86328125" customWidth="1"/>
    <col min="20" max="20" width="21.86328125" customWidth="1"/>
    <col min="21" max="21" width="24" customWidth="1"/>
    <col min="22" max="22" width="22.265625" customWidth="1"/>
  </cols>
  <sheetData>
    <row r="1" spans="1:23" ht="16.149999999999999" thickBot="1" x14ac:dyDescent="0.55000000000000004">
      <c r="A1" s="4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38</v>
      </c>
      <c r="H1" s="3" t="s">
        <v>39</v>
      </c>
      <c r="J1" s="89" t="s">
        <v>40</v>
      </c>
      <c r="K1" s="90"/>
      <c r="L1" s="90"/>
      <c r="M1" s="90"/>
      <c r="N1" s="90"/>
      <c r="O1" s="91"/>
      <c r="P1" s="4"/>
      <c r="Q1" s="92" t="s">
        <v>41</v>
      </c>
      <c r="R1" s="93"/>
      <c r="S1" s="93"/>
      <c r="T1" s="93"/>
      <c r="U1" s="93"/>
      <c r="V1" s="94"/>
    </row>
    <row r="2" spans="1:23" ht="14.65" thickBot="1" x14ac:dyDescent="0.5">
      <c r="A2" s="98">
        <v>45323</v>
      </c>
      <c r="B2">
        <v>253</v>
      </c>
      <c r="C2">
        <v>277.33999599999999</v>
      </c>
      <c r="D2">
        <v>234.509995</v>
      </c>
      <c r="E2">
        <v>238.36999499999999</v>
      </c>
      <c r="F2">
        <v>238.36999499999999</v>
      </c>
      <c r="G2" s="6">
        <f>(F2-F3)/F3</f>
        <v>-5.4799979739085791E-2</v>
      </c>
      <c r="H2" s="6">
        <f>(C2-D2)/D2</f>
        <v>0.1826361430778248</v>
      </c>
      <c r="J2" s="7"/>
      <c r="K2" s="8"/>
      <c r="L2" s="8"/>
      <c r="M2" s="8"/>
      <c r="N2" s="8"/>
      <c r="O2" s="9"/>
      <c r="P2" s="10"/>
      <c r="Q2" s="7"/>
      <c r="R2" s="8"/>
      <c r="S2" s="8"/>
      <c r="T2" s="8"/>
      <c r="U2" s="8"/>
      <c r="V2" s="9"/>
      <c r="W2" s="1"/>
    </row>
    <row r="3" spans="1:23" ht="14.65" thickBot="1" x14ac:dyDescent="0.5">
      <c r="A3" s="98">
        <v>45292</v>
      </c>
      <c r="B3">
        <v>247.679993</v>
      </c>
      <c r="C3">
        <v>266.33999599999999</v>
      </c>
      <c r="D3">
        <v>225.85000600000001</v>
      </c>
      <c r="E3">
        <v>252.19000199999999</v>
      </c>
      <c r="F3">
        <v>252.19000199999999</v>
      </c>
      <c r="G3" s="6">
        <f t="shared" ref="G3:G66" si="0">(F3-F4)/F4</f>
        <v>2.584117906053941E-3</v>
      </c>
      <c r="H3" s="6">
        <f t="shared" ref="H3:H66" si="1">(C3-D3)/D3</f>
        <v>0.17927823300567003</v>
      </c>
      <c r="J3" s="11" t="s">
        <v>6</v>
      </c>
      <c r="K3" s="12" t="s">
        <v>7</v>
      </c>
      <c r="L3" s="12" t="s">
        <v>8</v>
      </c>
      <c r="M3" s="13" t="s">
        <v>9</v>
      </c>
      <c r="N3" s="13" t="s">
        <v>23</v>
      </c>
      <c r="O3" s="14" t="s">
        <v>24</v>
      </c>
      <c r="P3" s="10"/>
      <c r="Q3" s="11" t="s">
        <v>6</v>
      </c>
      <c r="R3" s="12" t="s">
        <v>7</v>
      </c>
      <c r="S3" s="12" t="s">
        <v>8</v>
      </c>
      <c r="T3" s="13" t="s">
        <v>9</v>
      </c>
      <c r="U3" s="43" t="s">
        <v>23</v>
      </c>
      <c r="V3" s="14" t="s">
        <v>24</v>
      </c>
    </row>
    <row r="4" spans="1:23" x14ac:dyDescent="0.45">
      <c r="A4" s="98">
        <v>45261</v>
      </c>
      <c r="B4">
        <v>221.94000199999999</v>
      </c>
      <c r="C4">
        <v>262.76998900000001</v>
      </c>
      <c r="D4">
        <v>217.11999499999999</v>
      </c>
      <c r="E4">
        <v>251.53999300000001</v>
      </c>
      <c r="F4">
        <v>251.53999300000001</v>
      </c>
      <c r="G4" s="6">
        <f t="shared" si="0"/>
        <v>0.13260388820034916</v>
      </c>
      <c r="H4" s="6">
        <f t="shared" si="1"/>
        <v>0.21025237219630566</v>
      </c>
      <c r="J4" s="48">
        <f>$K$19-3*$K$23</f>
        <v>-0.40237457802293519</v>
      </c>
      <c r="K4" s="50">
        <f>J4</f>
        <v>-0.40237457802293519</v>
      </c>
      <c r="L4" s="15">
        <f>COUNTIF(G:G,"&lt;="&amp;J4)</f>
        <v>0</v>
      </c>
      <c r="M4" s="15" t="str">
        <f>"Less than "&amp;TEXT(J4,"0.00%")</f>
        <v>Less than -40.24%</v>
      </c>
      <c r="N4" s="16">
        <f t="shared" ref="N4:N15" si="2">L4/$K$31</f>
        <v>0</v>
      </c>
      <c r="O4" s="17">
        <f>N4</f>
        <v>0</v>
      </c>
      <c r="P4" s="18"/>
      <c r="Q4" s="48">
        <v>0</v>
      </c>
      <c r="R4" s="50">
        <f>Q4</f>
        <v>0</v>
      </c>
      <c r="S4" s="15">
        <f>COUNTIF(H:H,"&lt;="&amp;Q4)</f>
        <v>0</v>
      </c>
      <c r="T4" s="15" t="str">
        <f>"Equal to "&amp;TEXT(R4,"0.00%")</f>
        <v>Equal to 0.00%</v>
      </c>
      <c r="U4" s="44">
        <f t="shared" ref="U4:U15" si="3">S4/$R$31</f>
        <v>0</v>
      </c>
      <c r="V4" s="17">
        <f>U4</f>
        <v>0</v>
      </c>
    </row>
    <row r="5" spans="1:23" x14ac:dyDescent="0.45">
      <c r="A5" s="98">
        <v>45231</v>
      </c>
      <c r="B5">
        <v>190.91000399999999</v>
      </c>
      <c r="C5">
        <v>236.490005</v>
      </c>
      <c r="D5">
        <v>180.929993</v>
      </c>
      <c r="E5">
        <v>222.08999600000001</v>
      </c>
      <c r="F5">
        <v>222.08999600000001</v>
      </c>
      <c r="G5" s="6">
        <f t="shared" si="0"/>
        <v>0.16186242726222644</v>
      </c>
      <c r="H5" s="6">
        <f t="shared" si="1"/>
        <v>0.30708016442580638</v>
      </c>
      <c r="J5" s="49">
        <f>$K$19-2.4*$K$23</f>
        <v>-0.31843554779477012</v>
      </c>
      <c r="K5" s="51">
        <f>J5</f>
        <v>-0.31843554779477012</v>
      </c>
      <c r="L5" s="19">
        <f t="shared" ref="L5:L14" si="4">COUNTIFS(G:G,"&lt;="&amp;J5,G:G,"&gt;"&amp;J4)</f>
        <v>0</v>
      </c>
      <c r="M5" s="45" t="str">
        <f t="shared" ref="M5:M14" si="5">TEXT(J4,"0.00%")&amp;" to "&amp;TEXT(J5,"0.00%")</f>
        <v>-40.24% to -31.84%</v>
      </c>
      <c r="N5" s="20">
        <f t="shared" si="2"/>
        <v>0</v>
      </c>
      <c r="O5" s="21">
        <f>O4+N5</f>
        <v>0</v>
      </c>
      <c r="P5" s="18"/>
      <c r="Q5" s="49" t="e">
        <f>0.4*$R$21</f>
        <v>#DIV/0!</v>
      </c>
      <c r="R5" s="51" t="e">
        <f>Q5</f>
        <v>#DIV/0!</v>
      </c>
      <c r="S5" s="19">
        <f t="shared" ref="S5:S14" si="6">COUNTIFS(H:H,"&lt;="&amp;Q5,H:H,"&gt;"&amp;Q4)</f>
        <v>0</v>
      </c>
      <c r="T5" s="45" t="e">
        <f t="shared" ref="T5:T14" si="7">TEXT(Q4,"0.00%")&amp;" to "&amp;TEXT(Q5,"0.00%")</f>
        <v>#DIV/0!</v>
      </c>
      <c r="U5" s="20">
        <f t="shared" si="3"/>
        <v>0</v>
      </c>
      <c r="V5" s="21">
        <f>V4+U5</f>
        <v>0</v>
      </c>
    </row>
    <row r="6" spans="1:23" x14ac:dyDescent="0.45">
      <c r="A6" s="98">
        <v>45200</v>
      </c>
      <c r="B6">
        <v>240.990005</v>
      </c>
      <c r="C6">
        <v>241.029999</v>
      </c>
      <c r="D6">
        <v>188.60000600000001</v>
      </c>
      <c r="E6">
        <v>191.14999399999999</v>
      </c>
      <c r="F6">
        <v>191.14999399999999</v>
      </c>
      <c r="G6" s="6">
        <f t="shared" si="0"/>
        <v>-0.20983013997221875</v>
      </c>
      <c r="H6" s="6">
        <f t="shared" si="1"/>
        <v>0.27799571225888503</v>
      </c>
      <c r="J6" s="49">
        <f>$K$19-1.8*$K$23</f>
        <v>-0.23449651756660519</v>
      </c>
      <c r="K6" s="51">
        <f t="shared" ref="K6:K14" si="8">J6</f>
        <v>-0.23449651756660519</v>
      </c>
      <c r="L6" s="19">
        <f t="shared" si="4"/>
        <v>0</v>
      </c>
      <c r="M6" s="45" t="str">
        <f t="shared" si="5"/>
        <v>-31.84% to -23.45%</v>
      </c>
      <c r="N6" s="20">
        <f t="shared" si="2"/>
        <v>0</v>
      </c>
      <c r="O6" s="21">
        <f t="shared" ref="O6:O15" si="9">O5+N6</f>
        <v>0</v>
      </c>
      <c r="P6" s="18"/>
      <c r="Q6" s="49" t="e">
        <f>0.8*$R$21</f>
        <v>#DIV/0!</v>
      </c>
      <c r="R6" s="51" t="e">
        <f t="shared" ref="R6:R14" si="10">Q6</f>
        <v>#DIV/0!</v>
      </c>
      <c r="S6" s="19">
        <f t="shared" si="6"/>
        <v>1</v>
      </c>
      <c r="T6" s="45" t="e">
        <f t="shared" si="7"/>
        <v>#DIV/0!</v>
      </c>
      <c r="U6" s="20">
        <f t="shared" si="3"/>
        <v>1.6129032258064516E-2</v>
      </c>
      <c r="V6" s="21">
        <f t="shared" ref="V6:V15" si="11">V5+U6</f>
        <v>1.6129032258064516E-2</v>
      </c>
    </row>
    <row r="7" spans="1:23" x14ac:dyDescent="0.45">
      <c r="A7" s="98">
        <v>45170</v>
      </c>
      <c r="B7">
        <v>266.61999500000002</v>
      </c>
      <c r="C7">
        <v>302</v>
      </c>
      <c r="D7">
        <v>239.86999499999999</v>
      </c>
      <c r="E7">
        <v>241.91000399999999</v>
      </c>
      <c r="F7">
        <v>241.91000399999999</v>
      </c>
      <c r="G7" s="6">
        <f t="shared" si="0"/>
        <v>-8.5406412098298731E-2</v>
      </c>
      <c r="H7" s="6">
        <f t="shared" si="1"/>
        <v>0.25901532619784318</v>
      </c>
      <c r="J7" s="49">
        <f>$K$19-1.2*$K$23</f>
        <v>-0.15055748733844021</v>
      </c>
      <c r="K7" s="51">
        <f t="shared" si="8"/>
        <v>-0.15055748733844021</v>
      </c>
      <c r="L7" s="19">
        <f t="shared" si="4"/>
        <v>6</v>
      </c>
      <c r="M7" s="45" t="str">
        <f t="shared" si="5"/>
        <v>-23.45% to -15.06%</v>
      </c>
      <c r="N7" s="20">
        <f t="shared" si="2"/>
        <v>9.8360655737704916E-2</v>
      </c>
      <c r="O7" s="21">
        <f t="shared" si="9"/>
        <v>9.8360655737704916E-2</v>
      </c>
      <c r="P7" s="10"/>
      <c r="Q7" s="49" t="e">
        <f>1.2*$R$21</f>
        <v>#DIV/0!</v>
      </c>
      <c r="R7" s="51" t="e">
        <f t="shared" si="10"/>
        <v>#DIV/0!</v>
      </c>
      <c r="S7" s="19">
        <f t="shared" si="6"/>
        <v>1</v>
      </c>
      <c r="T7" s="45" t="e">
        <f t="shared" si="7"/>
        <v>#DIV/0!</v>
      </c>
      <c r="U7" s="20">
        <f t="shared" si="3"/>
        <v>1.6129032258064516E-2</v>
      </c>
      <c r="V7" s="21">
        <f t="shared" si="11"/>
        <v>3.2258064516129031E-2</v>
      </c>
    </row>
    <row r="8" spans="1:23" x14ac:dyDescent="0.45">
      <c r="A8" s="98">
        <v>45139</v>
      </c>
      <c r="B8">
        <v>300.03500400000001</v>
      </c>
      <c r="C8">
        <v>301.64999399999999</v>
      </c>
      <c r="D8">
        <v>243.14999399999999</v>
      </c>
      <c r="E8">
        <v>264.5</v>
      </c>
      <c r="F8">
        <v>264.5</v>
      </c>
      <c r="G8" s="6">
        <f t="shared" si="0"/>
        <v>-0.12809858557976919</v>
      </c>
      <c r="H8" s="6">
        <f t="shared" si="1"/>
        <v>0.24059223295724202</v>
      </c>
      <c r="J8" s="49">
        <f>$K$19-0.6*$K$23</f>
        <v>-6.6618457110275239E-2</v>
      </c>
      <c r="K8" s="51">
        <f t="shared" si="8"/>
        <v>-6.6618457110275239E-2</v>
      </c>
      <c r="L8" s="19">
        <f t="shared" si="4"/>
        <v>13</v>
      </c>
      <c r="M8" s="45" t="str">
        <f t="shared" si="5"/>
        <v>-15.06% to -6.66%</v>
      </c>
      <c r="N8" s="20">
        <f t="shared" si="2"/>
        <v>0.21311475409836064</v>
      </c>
      <c r="O8" s="21">
        <f t="shared" si="9"/>
        <v>0.31147540983606559</v>
      </c>
      <c r="P8" s="10"/>
      <c r="Q8" s="49" t="e">
        <f>1.6*$R$21</f>
        <v>#DIV/0!</v>
      </c>
      <c r="R8" s="51" t="e">
        <f t="shared" si="10"/>
        <v>#DIV/0!</v>
      </c>
      <c r="S8" s="19">
        <f t="shared" si="6"/>
        <v>1</v>
      </c>
      <c r="T8" s="45" t="e">
        <f t="shared" si="7"/>
        <v>#DIV/0!</v>
      </c>
      <c r="U8" s="20">
        <f t="shared" si="3"/>
        <v>1.6129032258064516E-2</v>
      </c>
      <c r="V8" s="21">
        <f t="shared" si="11"/>
        <v>4.8387096774193547E-2</v>
      </c>
    </row>
    <row r="9" spans="1:23" x14ac:dyDescent="0.45">
      <c r="A9" s="98">
        <v>45108</v>
      </c>
      <c r="B9">
        <v>341.45001200000002</v>
      </c>
      <c r="C9">
        <v>344.040009</v>
      </c>
      <c r="D9">
        <v>298.39001500000001</v>
      </c>
      <c r="E9">
        <v>303.35998499999999</v>
      </c>
      <c r="F9">
        <v>303.35998499999999</v>
      </c>
      <c r="G9" s="6">
        <f t="shared" si="0"/>
        <v>-0.11829335940413513</v>
      </c>
      <c r="H9" s="6">
        <f t="shared" si="1"/>
        <v>0.15298767286164047</v>
      </c>
      <c r="J9" s="49">
        <f>$K$19</f>
        <v>1.7320573117889732E-2</v>
      </c>
      <c r="K9" s="51">
        <f t="shared" si="8"/>
        <v>1.7320573117889732E-2</v>
      </c>
      <c r="L9" s="19">
        <f t="shared" si="4"/>
        <v>11</v>
      </c>
      <c r="M9" s="45" t="str">
        <f t="shared" si="5"/>
        <v>-6.66% to 1.73%</v>
      </c>
      <c r="N9" s="20">
        <f t="shared" si="2"/>
        <v>0.18032786885245902</v>
      </c>
      <c r="O9" s="21">
        <f t="shared" si="9"/>
        <v>0.49180327868852458</v>
      </c>
      <c r="P9" s="10"/>
      <c r="Q9" s="49" t="e">
        <f>2*$R$21</f>
        <v>#DIV/0!</v>
      </c>
      <c r="R9" s="51" t="e">
        <f t="shared" si="10"/>
        <v>#DIV/0!</v>
      </c>
      <c r="S9" s="19">
        <f t="shared" si="6"/>
        <v>1</v>
      </c>
      <c r="T9" s="45" t="e">
        <f t="shared" si="7"/>
        <v>#DIV/0!</v>
      </c>
      <c r="U9" s="20">
        <f t="shared" si="3"/>
        <v>1.6129032258064516E-2</v>
      </c>
      <c r="V9" s="21">
        <f t="shared" si="11"/>
        <v>6.4516129032258063E-2</v>
      </c>
    </row>
    <row r="10" spans="1:23" x14ac:dyDescent="0.45">
      <c r="A10" s="98">
        <v>45078</v>
      </c>
      <c r="B10">
        <v>308.20001200000002</v>
      </c>
      <c r="C10">
        <v>348.67001299999998</v>
      </c>
      <c r="D10">
        <v>305.64001500000001</v>
      </c>
      <c r="E10">
        <v>344.05999800000001</v>
      </c>
      <c r="F10">
        <v>344.05999800000001</v>
      </c>
      <c r="G10" s="6">
        <f t="shared" si="0"/>
        <v>0.11947680899950303</v>
      </c>
      <c r="H10" s="6">
        <f t="shared" si="1"/>
        <v>0.14078653281050249</v>
      </c>
      <c r="J10" s="49">
        <f>$K$19+0.6*$K$23</f>
        <v>0.1012596033460547</v>
      </c>
      <c r="K10" s="51">
        <f t="shared" si="8"/>
        <v>0.1012596033460547</v>
      </c>
      <c r="L10" s="19">
        <f t="shared" si="4"/>
        <v>15</v>
      </c>
      <c r="M10" s="45" t="str">
        <f t="shared" si="5"/>
        <v>1.73% to 10.13%</v>
      </c>
      <c r="N10" s="20">
        <f t="shared" si="2"/>
        <v>0.24590163934426229</v>
      </c>
      <c r="O10" s="21">
        <f t="shared" si="9"/>
        <v>0.73770491803278682</v>
      </c>
      <c r="P10" s="10"/>
      <c r="Q10" s="49" t="e">
        <f>2.4*$R$21</f>
        <v>#DIV/0!</v>
      </c>
      <c r="R10" s="51" t="e">
        <f t="shared" si="10"/>
        <v>#DIV/0!</v>
      </c>
      <c r="S10" s="19">
        <f t="shared" si="6"/>
        <v>1</v>
      </c>
      <c r="T10" s="45" t="e">
        <f t="shared" si="7"/>
        <v>#DIV/0!</v>
      </c>
      <c r="U10" s="20">
        <f t="shared" si="3"/>
        <v>1.6129032258064516E-2</v>
      </c>
      <c r="V10" s="21">
        <f t="shared" si="11"/>
        <v>8.0645161290322578E-2</v>
      </c>
    </row>
    <row r="11" spans="1:23" x14ac:dyDescent="0.45">
      <c r="A11" s="98">
        <v>45047</v>
      </c>
      <c r="B11">
        <v>284.25</v>
      </c>
      <c r="C11">
        <v>324.38000499999998</v>
      </c>
      <c r="D11">
        <v>279</v>
      </c>
      <c r="E11">
        <v>307.33999599999999</v>
      </c>
      <c r="F11">
        <v>307.33999599999999</v>
      </c>
      <c r="G11" s="6">
        <f t="shared" si="0"/>
        <v>8.1726036212269981E-2</v>
      </c>
      <c r="H11" s="6">
        <f t="shared" si="1"/>
        <v>0.16265234767025083</v>
      </c>
      <c r="J11" s="49">
        <f>$K$19+1.2*$K$23</f>
        <v>0.18519863357421967</v>
      </c>
      <c r="K11" s="51">
        <f t="shared" si="8"/>
        <v>0.18519863357421967</v>
      </c>
      <c r="L11" s="19">
        <f t="shared" si="4"/>
        <v>12</v>
      </c>
      <c r="M11" s="45" t="str">
        <f t="shared" si="5"/>
        <v>10.13% to 18.52%</v>
      </c>
      <c r="N11" s="20">
        <f t="shared" si="2"/>
        <v>0.19672131147540983</v>
      </c>
      <c r="O11" s="21">
        <f t="shared" si="9"/>
        <v>0.93442622950819665</v>
      </c>
      <c r="P11" s="10"/>
      <c r="Q11" s="49" t="e">
        <f>2.8*$R$21</f>
        <v>#DIV/0!</v>
      </c>
      <c r="R11" s="51" t="e">
        <f t="shared" si="10"/>
        <v>#DIV/0!</v>
      </c>
      <c r="S11" s="19">
        <f t="shared" si="6"/>
        <v>1</v>
      </c>
      <c r="T11" s="45" t="e">
        <f t="shared" si="7"/>
        <v>#DIV/0!</v>
      </c>
      <c r="U11" s="20">
        <f t="shared" si="3"/>
        <v>1.6129032258064516E-2</v>
      </c>
      <c r="V11" s="21">
        <f t="shared" si="11"/>
        <v>9.6774193548387094E-2</v>
      </c>
    </row>
    <row r="12" spans="1:23" x14ac:dyDescent="0.45">
      <c r="A12" s="98">
        <v>45017</v>
      </c>
      <c r="B12">
        <v>276.36999500000002</v>
      </c>
      <c r="C12">
        <v>288.88000499999998</v>
      </c>
      <c r="D12">
        <v>266.54998799999998</v>
      </c>
      <c r="E12">
        <v>284.11999500000002</v>
      </c>
      <c r="F12">
        <v>284.11999500000002</v>
      </c>
      <c r="G12" s="6">
        <f t="shared" si="0"/>
        <v>1.9483989239054311E-2</v>
      </c>
      <c r="H12" s="6">
        <f t="shared" si="1"/>
        <v>8.3774218740538822E-2</v>
      </c>
      <c r="J12" s="49">
        <f>$K$19+1.8*$K$23</f>
        <v>0.26913766380238469</v>
      </c>
      <c r="K12" s="51">
        <f t="shared" si="8"/>
        <v>0.26913766380238469</v>
      </c>
      <c r="L12" s="19">
        <f t="shared" si="4"/>
        <v>2</v>
      </c>
      <c r="M12" s="45" t="str">
        <f t="shared" si="5"/>
        <v>18.52% to 26.91%</v>
      </c>
      <c r="N12" s="20">
        <f t="shared" si="2"/>
        <v>3.2786885245901641E-2</v>
      </c>
      <c r="O12" s="21">
        <f t="shared" si="9"/>
        <v>0.96721311475409832</v>
      </c>
      <c r="P12" s="10"/>
      <c r="Q12" s="49" t="e">
        <f>3.2*$R$21</f>
        <v>#DIV/0!</v>
      </c>
      <c r="R12" s="51" t="e">
        <f t="shared" si="10"/>
        <v>#DIV/0!</v>
      </c>
      <c r="S12" s="19">
        <f t="shared" si="6"/>
        <v>1</v>
      </c>
      <c r="T12" s="45" t="e">
        <f t="shared" si="7"/>
        <v>#DIV/0!</v>
      </c>
      <c r="U12" s="20">
        <f t="shared" si="3"/>
        <v>1.6129032258064516E-2</v>
      </c>
      <c r="V12" s="21">
        <f t="shared" si="11"/>
        <v>0.11290322580645161</v>
      </c>
    </row>
    <row r="13" spans="1:23" x14ac:dyDescent="0.45">
      <c r="A13" s="98">
        <v>44986</v>
      </c>
      <c r="B13">
        <v>259.48001099999999</v>
      </c>
      <c r="C13">
        <v>283.42001299999998</v>
      </c>
      <c r="D13">
        <v>244.71000699999999</v>
      </c>
      <c r="E13">
        <v>278.69000199999999</v>
      </c>
      <c r="F13">
        <v>278.69000199999999</v>
      </c>
      <c r="G13" s="6">
        <f t="shared" si="0"/>
        <v>7.1925892223773755E-2</v>
      </c>
      <c r="H13" s="6">
        <f t="shared" si="1"/>
        <v>0.15818726203542627</v>
      </c>
      <c r="J13" s="49">
        <f>$K$19+2.4*$K$23</f>
        <v>0.35307669403054964</v>
      </c>
      <c r="K13" s="51">
        <f t="shared" si="8"/>
        <v>0.35307669403054964</v>
      </c>
      <c r="L13" s="19">
        <f t="shared" si="4"/>
        <v>1</v>
      </c>
      <c r="M13" s="45" t="str">
        <f t="shared" si="5"/>
        <v>26.91% to 35.31%</v>
      </c>
      <c r="N13" s="20">
        <f t="shared" si="2"/>
        <v>1.6393442622950821E-2</v>
      </c>
      <c r="O13" s="21">
        <f t="shared" si="9"/>
        <v>0.98360655737704916</v>
      </c>
      <c r="P13" s="10"/>
      <c r="Q13" s="49" t="e">
        <f>3.6*$R$21</f>
        <v>#DIV/0!</v>
      </c>
      <c r="R13" s="51" t="e">
        <f t="shared" si="10"/>
        <v>#DIV/0!</v>
      </c>
      <c r="S13" s="19">
        <f t="shared" si="6"/>
        <v>1</v>
      </c>
      <c r="T13" s="45" t="e">
        <f t="shared" si="7"/>
        <v>#DIV/0!</v>
      </c>
      <c r="U13" s="20">
        <f t="shared" si="3"/>
        <v>1.6129032258064516E-2</v>
      </c>
      <c r="V13" s="21">
        <f t="shared" si="11"/>
        <v>0.12903225806451613</v>
      </c>
    </row>
    <row r="14" spans="1:23" x14ac:dyDescent="0.45">
      <c r="A14" s="98">
        <v>44958</v>
      </c>
      <c r="B14">
        <v>251.550003</v>
      </c>
      <c r="C14">
        <v>274.709991</v>
      </c>
      <c r="D14">
        <v>240</v>
      </c>
      <c r="E14">
        <v>259.98998999999998</v>
      </c>
      <c r="F14">
        <v>259.98998999999998</v>
      </c>
      <c r="G14" s="6">
        <f t="shared" si="0"/>
        <v>3.8257201577297971E-2</v>
      </c>
      <c r="H14" s="6">
        <f t="shared" si="1"/>
        <v>0.14462496250000001</v>
      </c>
      <c r="J14" s="49">
        <f>$K$19+3*$K$23</f>
        <v>0.4370157242587146</v>
      </c>
      <c r="K14" s="51">
        <f t="shared" si="8"/>
        <v>0.4370157242587146</v>
      </c>
      <c r="L14" s="19">
        <f t="shared" si="4"/>
        <v>0</v>
      </c>
      <c r="M14" s="45" t="str">
        <f t="shared" si="5"/>
        <v>35.31% to 43.70%</v>
      </c>
      <c r="N14" s="20">
        <f t="shared" si="2"/>
        <v>0</v>
      </c>
      <c r="O14" s="21">
        <f t="shared" si="9"/>
        <v>0.98360655737704916</v>
      </c>
      <c r="P14" s="10"/>
      <c r="Q14" s="49" t="e">
        <f>4*$R$21</f>
        <v>#DIV/0!</v>
      </c>
      <c r="R14" s="51" t="e">
        <f t="shared" si="10"/>
        <v>#DIV/0!</v>
      </c>
      <c r="S14" s="19">
        <f t="shared" si="6"/>
        <v>1</v>
      </c>
      <c r="T14" s="45" t="e">
        <f t="shared" si="7"/>
        <v>#DIV/0!</v>
      </c>
      <c r="U14" s="20">
        <f t="shared" si="3"/>
        <v>1.6129032258064516E-2</v>
      </c>
      <c r="V14" s="21">
        <f t="shared" si="11"/>
        <v>0.14516129032258063</v>
      </c>
    </row>
    <row r="15" spans="1:23" ht="14.65" thickBot="1" x14ac:dyDescent="0.5">
      <c r="A15" s="98">
        <v>44927</v>
      </c>
      <c r="B15">
        <v>227.11999499999999</v>
      </c>
      <c r="C15">
        <v>253.220001</v>
      </c>
      <c r="D15">
        <v>218.550003</v>
      </c>
      <c r="E15">
        <v>250.41000399999999</v>
      </c>
      <c r="F15">
        <v>250.41000399999999</v>
      </c>
      <c r="G15" s="6">
        <f t="shared" si="0"/>
        <v>0.1256405471568649</v>
      </c>
      <c r="H15" s="6">
        <f t="shared" si="1"/>
        <v>0.15863645629874457</v>
      </c>
      <c r="J15" s="22"/>
      <c r="K15" s="23" t="s">
        <v>10</v>
      </c>
      <c r="L15" s="23">
        <f>COUNTIF(G:G,"&gt;"&amp;J14)</f>
        <v>1</v>
      </c>
      <c r="M15" s="23" t="str">
        <f>"Greater than "&amp;TEXT(J14,"0.00%")</f>
        <v>Greater than 43.70%</v>
      </c>
      <c r="N15" s="24">
        <f t="shared" si="2"/>
        <v>1.6393442622950821E-2</v>
      </c>
      <c r="O15" s="25">
        <f t="shared" si="9"/>
        <v>1</v>
      </c>
      <c r="P15" s="10"/>
      <c r="Q15" s="22"/>
      <c r="R15" s="23" t="s">
        <v>10</v>
      </c>
      <c r="S15" s="23">
        <f>COUNTIF(H:H,"&gt;"&amp;Q14)</f>
        <v>1</v>
      </c>
      <c r="T15" s="23" t="e">
        <f>"Greater than "&amp;TEXT(Q14,"0.00%")</f>
        <v>#DIV/0!</v>
      </c>
      <c r="U15" s="24">
        <f t="shared" si="3"/>
        <v>1.6129032258064516E-2</v>
      </c>
      <c r="V15" s="25">
        <f t="shared" si="11"/>
        <v>0.16129032258064513</v>
      </c>
    </row>
    <row r="16" spans="1:23" ht="14.65" thickBot="1" x14ac:dyDescent="0.5">
      <c r="A16" s="98">
        <v>44896</v>
      </c>
      <c r="B16">
        <v>208.85000600000001</v>
      </c>
      <c r="C16">
        <v>233.259995</v>
      </c>
      <c r="D16">
        <v>206.11000100000001</v>
      </c>
      <c r="E16">
        <v>222.46000699999999</v>
      </c>
      <c r="F16">
        <v>222.46000699999999</v>
      </c>
      <c r="G16" s="6">
        <f t="shared" si="0"/>
        <v>6.1810950833157081E-2</v>
      </c>
      <c r="H16" s="6">
        <f t="shared" si="1"/>
        <v>0.13172574774767962</v>
      </c>
      <c r="J16" s="26"/>
      <c r="K16" s="27"/>
      <c r="L16" s="27"/>
      <c r="M16" s="27"/>
      <c r="N16" s="27"/>
      <c r="O16" s="28"/>
      <c r="P16" s="10"/>
      <c r="Q16" s="26"/>
      <c r="R16" s="27"/>
      <c r="S16" s="27"/>
      <c r="T16" s="27"/>
      <c r="U16" s="27"/>
      <c r="V16" s="28"/>
    </row>
    <row r="17" spans="1:22" x14ac:dyDescent="0.45">
      <c r="A17" s="98">
        <v>44866</v>
      </c>
      <c r="B17">
        <v>174.83000200000001</v>
      </c>
      <c r="C17">
        <v>209.53999300000001</v>
      </c>
      <c r="D17">
        <v>144.759995</v>
      </c>
      <c r="E17">
        <v>209.509995</v>
      </c>
      <c r="F17">
        <v>209.509995</v>
      </c>
      <c r="G17" s="6">
        <f t="shared" si="0"/>
        <v>0.22184635083777721</v>
      </c>
      <c r="H17" s="6">
        <f t="shared" si="1"/>
        <v>0.44749931084205968</v>
      </c>
      <c r="J17" s="29" t="s">
        <v>37</v>
      </c>
      <c r="K17" s="30"/>
      <c r="L17" s="27"/>
      <c r="M17" s="27"/>
      <c r="N17" s="27"/>
      <c r="O17" s="28"/>
      <c r="P17" s="10"/>
      <c r="Q17" s="29" t="s">
        <v>37</v>
      </c>
      <c r="R17" s="30"/>
      <c r="S17" s="27"/>
      <c r="T17" s="27"/>
      <c r="U17" s="27"/>
      <c r="V17" s="28"/>
    </row>
    <row r="18" spans="1:22" x14ac:dyDescent="0.45">
      <c r="A18" s="98">
        <v>44835</v>
      </c>
      <c r="B18">
        <v>191.199997</v>
      </c>
      <c r="C18">
        <v>203.80999800000001</v>
      </c>
      <c r="D18">
        <v>165.99499499999999</v>
      </c>
      <c r="E18">
        <v>171.470001</v>
      </c>
      <c r="F18">
        <v>171.470001</v>
      </c>
      <c r="G18" s="6">
        <f t="shared" si="0"/>
        <v>-9.5622386214481506E-2</v>
      </c>
      <c r="H18" s="6">
        <f t="shared" si="1"/>
        <v>0.22780809144275718</v>
      </c>
      <c r="J18" s="26"/>
      <c r="K18" s="27"/>
      <c r="L18" s="27"/>
      <c r="M18" s="27"/>
      <c r="N18" s="27"/>
      <c r="O18" s="28"/>
      <c r="P18" s="10"/>
      <c r="Q18" s="26"/>
      <c r="R18" s="27"/>
      <c r="S18" s="27"/>
      <c r="T18" s="27"/>
      <c r="U18" s="27"/>
      <c r="V18" s="28"/>
    </row>
    <row r="19" spans="1:22" x14ac:dyDescent="0.45">
      <c r="A19" s="98">
        <v>44805</v>
      </c>
      <c r="B19">
        <v>162.16999799999999</v>
      </c>
      <c r="C19">
        <v>211.479996</v>
      </c>
      <c r="D19">
        <v>159.154999</v>
      </c>
      <c r="E19">
        <v>189.60000600000001</v>
      </c>
      <c r="F19">
        <v>189.60000600000001</v>
      </c>
      <c r="G19" s="6">
        <f t="shared" si="0"/>
        <v>0.15490045873058983</v>
      </c>
      <c r="H19" s="6">
        <f t="shared" si="1"/>
        <v>0.32876753685883281</v>
      </c>
      <c r="J19" s="26" t="s">
        <v>11</v>
      </c>
      <c r="K19" s="31">
        <f>AVERAGE(G:G)</f>
        <v>1.7320573117889732E-2</v>
      </c>
      <c r="L19" s="27"/>
      <c r="M19" s="27"/>
      <c r="N19" s="27"/>
      <c r="O19" s="28"/>
      <c r="P19" s="10"/>
      <c r="Q19" s="26" t="s">
        <v>11</v>
      </c>
      <c r="R19" s="31" t="e">
        <f>AVERAGE(H:H)</f>
        <v>#DIV/0!</v>
      </c>
      <c r="S19" s="27"/>
      <c r="T19" s="27"/>
      <c r="U19" s="27"/>
      <c r="V19" s="28"/>
    </row>
    <row r="20" spans="1:22" x14ac:dyDescent="0.45">
      <c r="A20" s="98">
        <v>44774</v>
      </c>
      <c r="B20">
        <v>137.11999499999999</v>
      </c>
      <c r="C20">
        <v>176.800003</v>
      </c>
      <c r="D20">
        <v>136.10000600000001</v>
      </c>
      <c r="E20">
        <v>164.16999799999999</v>
      </c>
      <c r="F20">
        <v>164.16999799999999</v>
      </c>
      <c r="G20" s="6">
        <f t="shared" si="0"/>
        <v>0.17785903365407382</v>
      </c>
      <c r="H20" s="6">
        <f t="shared" si="1"/>
        <v>0.29904478475923063</v>
      </c>
      <c r="J20" s="26" t="s">
        <v>12</v>
      </c>
      <c r="K20" s="31">
        <f>_xlfn.STDEV.S(G:G)/SQRT(COUNT(G:G))</f>
        <v>1.7912152558345475E-2</v>
      </c>
      <c r="L20" s="32"/>
      <c r="M20" s="27"/>
      <c r="N20" s="27"/>
      <c r="O20" s="28"/>
      <c r="P20" s="10"/>
      <c r="Q20" s="26" t="s">
        <v>12</v>
      </c>
      <c r="R20" s="31" t="e">
        <f>_xlfn.STDEV.S(H:H)/SQRT(COUNT(H:H))</f>
        <v>#DIV/0!</v>
      </c>
      <c r="S20" s="32"/>
      <c r="T20" s="27"/>
      <c r="U20" s="27"/>
      <c r="V20" s="28"/>
    </row>
    <row r="21" spans="1:22" x14ac:dyDescent="0.45">
      <c r="A21" s="98">
        <v>44743</v>
      </c>
      <c r="B21">
        <v>124.389999</v>
      </c>
      <c r="C21">
        <v>141.64999399999999</v>
      </c>
      <c r="D21">
        <v>118.650002</v>
      </c>
      <c r="E21">
        <v>139.38000500000001</v>
      </c>
      <c r="F21">
        <v>139.38000500000001</v>
      </c>
      <c r="G21" s="6">
        <f t="shared" si="0"/>
        <v>0.11933832603609851</v>
      </c>
      <c r="H21" s="6">
        <f t="shared" si="1"/>
        <v>0.19384737979186878</v>
      </c>
      <c r="J21" s="26" t="s">
        <v>13</v>
      </c>
      <c r="K21" s="31">
        <f>MEDIAN(G:G)</f>
        <v>1.9483989239054311E-2</v>
      </c>
      <c r="L21" s="27"/>
      <c r="M21" s="27"/>
      <c r="N21" s="27"/>
      <c r="O21" s="28"/>
      <c r="P21" s="10"/>
      <c r="Q21" s="26" t="s">
        <v>13</v>
      </c>
      <c r="R21" s="31" t="e">
        <f>MEDIAN(H:H)</f>
        <v>#DIV/0!</v>
      </c>
      <c r="S21" s="27"/>
      <c r="T21" s="27"/>
      <c r="U21" s="27"/>
      <c r="V21" s="28"/>
    </row>
    <row r="22" spans="1:22" x14ac:dyDescent="0.45">
      <c r="A22" s="98">
        <v>44713</v>
      </c>
      <c r="B22">
        <v>147.80999800000001</v>
      </c>
      <c r="C22">
        <v>148.949997</v>
      </c>
      <c r="D22">
        <v>114.864998</v>
      </c>
      <c r="E22">
        <v>124.519997</v>
      </c>
      <c r="F22">
        <v>124.519997</v>
      </c>
      <c r="G22" s="6">
        <f t="shared" si="0"/>
        <v>-0.15246393482798706</v>
      </c>
      <c r="H22" s="6">
        <f t="shared" si="1"/>
        <v>0.29673964735541103</v>
      </c>
      <c r="J22" s="26" t="s">
        <v>14</v>
      </c>
      <c r="K22" s="31" t="e">
        <f>MODE(G:G)</f>
        <v>#N/A</v>
      </c>
      <c r="L22" s="27"/>
      <c r="M22" s="27"/>
      <c r="N22" s="27"/>
      <c r="O22" s="28"/>
      <c r="P22" s="10"/>
      <c r="Q22" s="26" t="s">
        <v>14</v>
      </c>
      <c r="R22" s="31" t="e">
        <f>MODE(H:H)</f>
        <v>#DIV/0!</v>
      </c>
      <c r="S22" s="27"/>
      <c r="T22" s="27"/>
      <c r="U22" s="27"/>
      <c r="V22" s="28"/>
    </row>
    <row r="23" spans="1:22" x14ac:dyDescent="0.45">
      <c r="A23" s="98">
        <v>44682</v>
      </c>
      <c r="B23">
        <v>172.279999</v>
      </c>
      <c r="C23">
        <v>179.720001</v>
      </c>
      <c r="D23">
        <v>130.96000699999999</v>
      </c>
      <c r="E23">
        <v>146.91999799999999</v>
      </c>
      <c r="F23">
        <v>146.91999799999999</v>
      </c>
      <c r="G23" s="6">
        <f t="shared" si="0"/>
        <v>-0.1485860007949236</v>
      </c>
      <c r="H23" s="6">
        <f t="shared" si="1"/>
        <v>0.37232736250540982</v>
      </c>
      <c r="J23" s="26" t="s">
        <v>15</v>
      </c>
      <c r="K23" s="31">
        <f>_xlfn.STDEV.S(G:G)</f>
        <v>0.1398983837136083</v>
      </c>
      <c r="L23" s="27"/>
      <c r="M23" s="27"/>
      <c r="N23" s="27"/>
      <c r="O23" s="28"/>
      <c r="P23" s="10"/>
      <c r="Q23" s="26" t="s">
        <v>15</v>
      </c>
      <c r="R23" s="31" t="e">
        <f>_xlfn.STDEV.S(H:H)</f>
        <v>#DIV/0!</v>
      </c>
      <c r="S23" s="27"/>
      <c r="T23" s="27"/>
      <c r="U23" s="27"/>
      <c r="V23" s="28"/>
    </row>
    <row r="24" spans="1:22" x14ac:dyDescent="0.45">
      <c r="A24" s="98">
        <v>44652</v>
      </c>
      <c r="B24">
        <v>221.71000699999999</v>
      </c>
      <c r="C24">
        <v>229.44000199999999</v>
      </c>
      <c r="D24">
        <v>166.645004</v>
      </c>
      <c r="E24">
        <v>172.55999800000001</v>
      </c>
      <c r="F24">
        <v>172.55999800000001</v>
      </c>
      <c r="G24" s="6">
        <f t="shared" si="0"/>
        <v>-0.22315763689826595</v>
      </c>
      <c r="H24" s="6">
        <f t="shared" si="1"/>
        <v>0.37681896542184962</v>
      </c>
      <c r="J24" s="26" t="s">
        <v>16</v>
      </c>
      <c r="K24" s="31">
        <f>_xlfn.VAR.S(G:G)</f>
        <v>1.9571557765679981E-2</v>
      </c>
      <c r="L24" s="27"/>
      <c r="M24" s="27"/>
      <c r="N24" s="27"/>
      <c r="O24" s="28"/>
      <c r="P24" s="10"/>
      <c r="Q24" s="26" t="s">
        <v>16</v>
      </c>
      <c r="R24" s="31" t="e">
        <f>_xlfn.VAR.S(H:H)</f>
        <v>#DIV/0!</v>
      </c>
      <c r="S24" s="27"/>
      <c r="T24" s="27"/>
      <c r="U24" s="27"/>
      <c r="V24" s="28"/>
    </row>
    <row r="25" spans="1:22" x14ac:dyDescent="0.45">
      <c r="A25" s="98">
        <v>44621</v>
      </c>
      <c r="B25">
        <v>219.820007</v>
      </c>
      <c r="C25">
        <v>232.80999800000001</v>
      </c>
      <c r="D25">
        <v>186.19000199999999</v>
      </c>
      <c r="E25">
        <v>222.13000500000001</v>
      </c>
      <c r="F25">
        <v>222.13000500000001</v>
      </c>
      <c r="G25" s="6">
        <f t="shared" si="0"/>
        <v>1.7588165924322713E-3</v>
      </c>
      <c r="H25" s="6">
        <f t="shared" si="1"/>
        <v>0.25038936301209136</v>
      </c>
      <c r="J25" s="26" t="s">
        <v>17</v>
      </c>
      <c r="K25" s="33">
        <f>KURT(G:G)</f>
        <v>1.0686331955431116</v>
      </c>
      <c r="L25" s="27"/>
      <c r="M25" s="27"/>
      <c r="N25" s="27"/>
      <c r="O25" s="28"/>
      <c r="P25" s="10"/>
      <c r="Q25" s="26" t="s">
        <v>17</v>
      </c>
      <c r="R25" s="33" t="e">
        <f>KURT(H:H)</f>
        <v>#DIV/0!</v>
      </c>
      <c r="S25" s="27"/>
      <c r="T25" s="27"/>
      <c r="U25" s="27"/>
      <c r="V25" s="28"/>
    </row>
    <row r="26" spans="1:22" x14ac:dyDescent="0.45">
      <c r="A26" s="98">
        <v>44593</v>
      </c>
      <c r="B26">
        <v>228.33000200000001</v>
      </c>
      <c r="C26">
        <v>239.89999399999999</v>
      </c>
      <c r="D26">
        <v>196.41000399999999</v>
      </c>
      <c r="E26">
        <v>221.740005</v>
      </c>
      <c r="F26">
        <v>221.740005</v>
      </c>
      <c r="G26" s="6">
        <f t="shared" si="0"/>
        <v>-1.8892925509776712E-2</v>
      </c>
      <c r="H26" s="6">
        <f t="shared" si="1"/>
        <v>0.22142451562701465</v>
      </c>
      <c r="J26" s="26" t="s">
        <v>18</v>
      </c>
      <c r="K26" s="33">
        <f>SKEW(G:G)</f>
        <v>0.61199384003377133</v>
      </c>
      <c r="L26" s="27"/>
      <c r="M26" s="27"/>
      <c r="N26" s="27"/>
      <c r="O26" s="28"/>
      <c r="P26" s="10"/>
      <c r="Q26" s="26" t="s">
        <v>18</v>
      </c>
      <c r="R26" s="33" t="e">
        <f>SKEW(H:H)</f>
        <v>#DIV/0!</v>
      </c>
      <c r="S26" s="27"/>
      <c r="T26" s="27"/>
      <c r="U26" s="27"/>
      <c r="V26" s="28"/>
    </row>
    <row r="27" spans="1:22" x14ac:dyDescent="0.45">
      <c r="A27" s="98">
        <v>44562</v>
      </c>
      <c r="B27">
        <v>285.33999599999999</v>
      </c>
      <c r="C27">
        <v>287.52999899999998</v>
      </c>
      <c r="D27">
        <v>193.615005</v>
      </c>
      <c r="E27">
        <v>226.009995</v>
      </c>
      <c r="F27">
        <v>226.009995</v>
      </c>
      <c r="G27" s="6">
        <f t="shared" si="0"/>
        <v>-0.21338580852811959</v>
      </c>
      <c r="H27" s="6">
        <f t="shared" si="1"/>
        <v>0.48506051480875656</v>
      </c>
      <c r="J27" s="26" t="s">
        <v>9</v>
      </c>
      <c r="K27" s="31">
        <f>K29-K28</f>
        <v>0.71510047118398012</v>
      </c>
      <c r="L27" s="27"/>
      <c r="M27" s="27"/>
      <c r="N27" s="27"/>
      <c r="O27" s="28"/>
      <c r="P27" s="10"/>
      <c r="Q27" s="26" t="s">
        <v>9</v>
      </c>
      <c r="R27" s="31" t="e">
        <f>R29-R28</f>
        <v>#DIV/0!</v>
      </c>
      <c r="S27" s="27"/>
      <c r="T27" s="27"/>
      <c r="U27" s="27"/>
      <c r="V27" s="28"/>
    </row>
    <row r="28" spans="1:22" x14ac:dyDescent="0.45">
      <c r="A28" s="98">
        <v>44531</v>
      </c>
      <c r="B28">
        <v>248.53999300000001</v>
      </c>
      <c r="C28">
        <v>290.35998499999999</v>
      </c>
      <c r="D28">
        <v>235.13999899999999</v>
      </c>
      <c r="E28">
        <v>287.32000699999998</v>
      </c>
      <c r="F28">
        <v>287.32000699999998</v>
      </c>
      <c r="G28" s="6">
        <f t="shared" si="0"/>
        <v>0.16963164672415984</v>
      </c>
      <c r="H28" s="6">
        <f t="shared" si="1"/>
        <v>0.2348387608864454</v>
      </c>
      <c r="J28" s="26" t="s">
        <v>19</v>
      </c>
      <c r="K28" s="31">
        <f>MIN(G:G)</f>
        <v>-0.22315763689826595</v>
      </c>
      <c r="L28" s="27"/>
      <c r="M28" s="27"/>
      <c r="N28" s="27"/>
      <c r="O28" s="28"/>
      <c r="P28" s="10"/>
      <c r="Q28" s="26" t="s">
        <v>19</v>
      </c>
      <c r="R28" s="31" t="e">
        <f>MIN(H:H)</f>
        <v>#DIV/0!</v>
      </c>
      <c r="S28" s="27"/>
      <c r="T28" s="27"/>
      <c r="U28" s="27"/>
      <c r="V28" s="28"/>
    </row>
    <row r="29" spans="1:22" x14ac:dyDescent="0.45">
      <c r="A29" s="98">
        <v>44501</v>
      </c>
      <c r="B29">
        <v>278.05999800000001</v>
      </c>
      <c r="C29">
        <v>289.80999800000001</v>
      </c>
      <c r="D29">
        <v>243.13999899999999</v>
      </c>
      <c r="E29">
        <v>245.64999399999999</v>
      </c>
      <c r="F29">
        <v>245.64999399999999</v>
      </c>
      <c r="G29" s="6">
        <f t="shared" si="0"/>
        <v>-0.11173384682989028</v>
      </c>
      <c r="H29" s="6">
        <f t="shared" si="1"/>
        <v>0.19194702308113451</v>
      </c>
      <c r="J29" s="26" t="s">
        <v>20</v>
      </c>
      <c r="K29" s="31">
        <f>MAX(G:G)</f>
        <v>0.49194283428571423</v>
      </c>
      <c r="L29" s="27"/>
      <c r="M29" s="27"/>
      <c r="N29" s="27"/>
      <c r="O29" s="28"/>
      <c r="P29" s="10"/>
      <c r="Q29" s="26" t="s">
        <v>20</v>
      </c>
      <c r="R29" s="31" t="e">
        <f>MAX(H:H)</f>
        <v>#DIV/0!</v>
      </c>
      <c r="S29" s="27"/>
      <c r="T29" s="27"/>
      <c r="U29" s="27"/>
      <c r="V29" s="28"/>
    </row>
    <row r="30" spans="1:22" x14ac:dyDescent="0.45">
      <c r="A30" s="98">
        <v>44470</v>
      </c>
      <c r="B30">
        <v>267.05999800000001</v>
      </c>
      <c r="C30">
        <v>284.14498900000001</v>
      </c>
      <c r="D30">
        <v>252.01499899999999</v>
      </c>
      <c r="E30">
        <v>276.54998799999998</v>
      </c>
      <c r="F30">
        <v>276.54998799999998</v>
      </c>
      <c r="G30" s="6">
        <f t="shared" si="0"/>
        <v>3.7711024390243847E-2</v>
      </c>
      <c r="H30" s="6">
        <f t="shared" si="1"/>
        <v>0.12749237199171634</v>
      </c>
      <c r="J30" s="26" t="s">
        <v>21</v>
      </c>
      <c r="K30" s="33">
        <f>SUM(G:G)</f>
        <v>1.0565549601912736</v>
      </c>
      <c r="L30" s="27"/>
      <c r="M30" s="27"/>
      <c r="N30" s="27"/>
      <c r="O30" s="28"/>
      <c r="P30" s="10"/>
      <c r="Q30" s="26" t="s">
        <v>21</v>
      </c>
      <c r="R30" s="33" t="e">
        <f>SUM(H:H)</f>
        <v>#DIV/0!</v>
      </c>
      <c r="S30" s="27"/>
      <c r="T30" s="27"/>
      <c r="U30" s="27"/>
      <c r="V30" s="28"/>
    </row>
    <row r="31" spans="1:22" ht="14.65" thickBot="1" x14ac:dyDescent="0.5">
      <c r="A31" s="98">
        <v>44440</v>
      </c>
      <c r="B31">
        <v>274.73998999999998</v>
      </c>
      <c r="C31">
        <v>293.19500699999998</v>
      </c>
      <c r="D31">
        <v>257.35000600000001</v>
      </c>
      <c r="E31">
        <v>266.5</v>
      </c>
      <c r="F31">
        <v>266.5</v>
      </c>
      <c r="G31" s="6">
        <f t="shared" si="0"/>
        <v>-3.0732902823077581E-2</v>
      </c>
      <c r="H31" s="6">
        <f t="shared" si="1"/>
        <v>0.13928502103862384</v>
      </c>
      <c r="J31" s="7" t="s">
        <v>22</v>
      </c>
      <c r="K31" s="8">
        <f>COUNT(G:G)</f>
        <v>61</v>
      </c>
      <c r="L31" s="27"/>
      <c r="M31" s="27"/>
      <c r="N31" s="27"/>
      <c r="O31" s="28"/>
      <c r="P31" s="10"/>
      <c r="Q31" s="7" t="s">
        <v>22</v>
      </c>
      <c r="R31" s="8">
        <f>COUNT(H:H)</f>
        <v>62</v>
      </c>
      <c r="S31" s="27"/>
      <c r="T31" s="27"/>
      <c r="U31" s="27"/>
      <c r="V31" s="28"/>
    </row>
    <row r="32" spans="1:22" ht="14.65" thickBot="1" x14ac:dyDescent="0.5">
      <c r="A32" s="98">
        <v>44409</v>
      </c>
      <c r="B32">
        <v>268.22000100000002</v>
      </c>
      <c r="C32">
        <v>284.98998999999998</v>
      </c>
      <c r="D32">
        <v>243.78999300000001</v>
      </c>
      <c r="E32">
        <v>274.95001200000002</v>
      </c>
      <c r="F32">
        <v>274.95001200000002</v>
      </c>
      <c r="G32" s="6">
        <f t="shared" si="0"/>
        <v>3.2753636478646375E-2</v>
      </c>
      <c r="H32" s="6">
        <f t="shared" si="1"/>
        <v>0.1689979005824081</v>
      </c>
      <c r="J32" s="26"/>
      <c r="K32" s="27"/>
      <c r="L32" s="27"/>
      <c r="M32" s="27"/>
      <c r="N32" s="27"/>
      <c r="O32" s="28"/>
      <c r="P32" s="10"/>
      <c r="Q32" s="26"/>
      <c r="R32" s="27"/>
      <c r="S32" s="27"/>
      <c r="T32" s="27"/>
      <c r="U32" s="27"/>
      <c r="V32" s="28"/>
    </row>
    <row r="33" spans="1:22" x14ac:dyDescent="0.45">
      <c r="A33" s="98">
        <v>44378</v>
      </c>
      <c r="B33">
        <v>273.32998700000002</v>
      </c>
      <c r="C33">
        <v>279.35000600000001</v>
      </c>
      <c r="D33">
        <v>248.509995</v>
      </c>
      <c r="E33">
        <v>266.23001099999999</v>
      </c>
      <c r="F33">
        <v>266.23001099999999</v>
      </c>
      <c r="G33" s="6">
        <f t="shared" si="0"/>
        <v>-2.8570338820479803E-2</v>
      </c>
      <c r="H33" s="6">
        <f t="shared" si="1"/>
        <v>0.12409968057823993</v>
      </c>
      <c r="J33" s="34"/>
      <c r="K33" s="35" t="s">
        <v>29</v>
      </c>
      <c r="L33" s="35" t="s">
        <v>22</v>
      </c>
      <c r="M33" s="35" t="s">
        <v>28</v>
      </c>
      <c r="N33" s="36" t="s">
        <v>30</v>
      </c>
      <c r="O33" s="28"/>
      <c r="P33" s="10"/>
      <c r="Q33" s="34"/>
      <c r="R33" s="35" t="s">
        <v>29</v>
      </c>
      <c r="S33" s="35" t="s">
        <v>22</v>
      </c>
      <c r="T33" s="35" t="s">
        <v>28</v>
      </c>
      <c r="U33" s="36" t="s">
        <v>30</v>
      </c>
      <c r="V33" s="28"/>
    </row>
    <row r="34" spans="1:22" x14ac:dyDescent="0.45">
      <c r="A34" s="98">
        <v>44348</v>
      </c>
      <c r="B34">
        <v>250.46000699999999</v>
      </c>
      <c r="C34">
        <v>291.10000600000001</v>
      </c>
      <c r="D34">
        <v>245.66000399999999</v>
      </c>
      <c r="E34">
        <v>274.05999800000001</v>
      </c>
      <c r="F34">
        <v>274.05999800000001</v>
      </c>
      <c r="G34" s="6">
        <f t="shared" si="0"/>
        <v>0.10015654489921501</v>
      </c>
      <c r="H34" s="6">
        <f t="shared" si="1"/>
        <v>0.18497110339540671</v>
      </c>
      <c r="J34" s="37" t="s">
        <v>26</v>
      </c>
      <c r="K34" s="20">
        <f>AVERAGEIF(G:G,"&gt;0")</f>
        <v>0.11985668469851328</v>
      </c>
      <c r="L34" s="19">
        <f>COUNTIF(G:G,"&gt;0")</f>
        <v>33</v>
      </c>
      <c r="M34" s="20">
        <f>L34/$K$31</f>
        <v>0.54098360655737709</v>
      </c>
      <c r="N34" s="21">
        <f>M34*K34</f>
        <v>6.484050155821211E-2</v>
      </c>
      <c r="O34" s="28"/>
      <c r="P34" s="10"/>
      <c r="Q34" s="37" t="s">
        <v>26</v>
      </c>
      <c r="R34" s="20">
        <f>AVERAGEIF(H:H,"&gt;0")</f>
        <v>0.24307325700457574</v>
      </c>
      <c r="S34" s="19">
        <f>COUNTIF(H:H,"&gt;0")</f>
        <v>62</v>
      </c>
      <c r="T34" s="20">
        <f>S34/$R$31</f>
        <v>1</v>
      </c>
      <c r="U34" s="21">
        <f>T34*R34</f>
        <v>0.24307325700457574</v>
      </c>
      <c r="V34" s="28"/>
    </row>
    <row r="35" spans="1:22" x14ac:dyDescent="0.45">
      <c r="A35" s="98">
        <v>44317</v>
      </c>
      <c r="B35">
        <v>306.32000699999998</v>
      </c>
      <c r="C35">
        <v>320</v>
      </c>
      <c r="D35">
        <v>232.29499799999999</v>
      </c>
      <c r="E35">
        <v>249.11000100000001</v>
      </c>
      <c r="F35">
        <v>249.11000100000001</v>
      </c>
      <c r="G35" s="6">
        <f t="shared" si="0"/>
        <v>-0.18588839785249175</v>
      </c>
      <c r="H35" s="6">
        <f t="shared" si="1"/>
        <v>0.37755871953816245</v>
      </c>
      <c r="J35" s="37" t="s">
        <v>27</v>
      </c>
      <c r="K35" s="20">
        <f>AVERAGEIF(G:G,"&lt;0")</f>
        <v>-0.10352555838784518</v>
      </c>
      <c r="L35" s="19">
        <f>COUNTIF(G:G,"&lt;0")</f>
        <v>28</v>
      </c>
      <c r="M35" s="20">
        <f>L35/$K$31</f>
        <v>0.45901639344262296</v>
      </c>
      <c r="N35" s="21">
        <f t="shared" ref="N35:N36" si="12">M35*K35</f>
        <v>-4.7519928440322379E-2</v>
      </c>
      <c r="O35" s="28"/>
      <c r="P35" s="10"/>
      <c r="Q35" s="37" t="s">
        <v>27</v>
      </c>
      <c r="R35" s="20"/>
      <c r="S35" s="19"/>
      <c r="T35" s="20"/>
      <c r="U35" s="21"/>
      <c r="V35" s="28"/>
    </row>
    <row r="36" spans="1:22" ht="14.65" thickBot="1" x14ac:dyDescent="0.5">
      <c r="A36" s="98">
        <v>44287</v>
      </c>
      <c r="B36">
        <v>272.60998499999999</v>
      </c>
      <c r="C36">
        <v>312.16000400000001</v>
      </c>
      <c r="D36">
        <v>264.08999599999999</v>
      </c>
      <c r="E36">
        <v>305.98998999999998</v>
      </c>
      <c r="F36">
        <v>305.98998999999998</v>
      </c>
      <c r="G36" s="6">
        <f t="shared" si="0"/>
        <v>0.13086704376255276</v>
      </c>
      <c r="H36" s="6">
        <f t="shared" si="1"/>
        <v>0.18202131367369187</v>
      </c>
      <c r="J36" s="38" t="s">
        <v>31</v>
      </c>
      <c r="K36" s="23">
        <v>0</v>
      </c>
      <c r="L36" s="23">
        <f>COUNTIF(G:G,"0")</f>
        <v>0</v>
      </c>
      <c r="M36" s="24">
        <f>L36/$K$31</f>
        <v>0</v>
      </c>
      <c r="N36" s="25">
        <f t="shared" si="12"/>
        <v>0</v>
      </c>
      <c r="O36" s="28"/>
      <c r="P36" s="10"/>
      <c r="Q36" s="38" t="s">
        <v>31</v>
      </c>
      <c r="R36" s="23">
        <v>0</v>
      </c>
      <c r="S36" s="23">
        <f>COUNTIF(H:H,"0")</f>
        <v>0</v>
      </c>
      <c r="T36" s="24">
        <f>S36/$R$31</f>
        <v>0</v>
      </c>
      <c r="U36" s="25">
        <f>T36*R36</f>
        <v>0</v>
      </c>
      <c r="V36" s="28"/>
    </row>
    <row r="37" spans="1:22" ht="14.65" thickBot="1" x14ac:dyDescent="0.5">
      <c r="A37" s="98">
        <v>44256</v>
      </c>
      <c r="B37">
        <v>288.10998499999999</v>
      </c>
      <c r="C37">
        <v>293.54998799999998</v>
      </c>
      <c r="D37">
        <v>252.029999</v>
      </c>
      <c r="E37">
        <v>270.57998700000002</v>
      </c>
      <c r="F37">
        <v>270.57998700000002</v>
      </c>
      <c r="G37" s="6">
        <f t="shared" si="0"/>
        <v>-4.8693901279250836E-2</v>
      </c>
      <c r="H37" s="6">
        <f t="shared" si="1"/>
        <v>0.16474224959227962</v>
      </c>
      <c r="J37" s="26"/>
      <c r="K37" s="27"/>
      <c r="L37" s="27"/>
      <c r="M37" s="27"/>
      <c r="N37" s="27"/>
      <c r="O37" s="28"/>
      <c r="P37" s="10"/>
      <c r="Q37" s="26"/>
      <c r="R37" s="27"/>
      <c r="S37" s="27"/>
      <c r="T37" s="27"/>
      <c r="U37" s="27"/>
      <c r="V37" s="28"/>
    </row>
    <row r="38" spans="1:22" x14ac:dyDescent="0.45">
      <c r="A38" s="98">
        <v>44228</v>
      </c>
      <c r="B38">
        <v>277.19000199999999</v>
      </c>
      <c r="C38">
        <v>301.25</v>
      </c>
      <c r="D38">
        <v>242.449997</v>
      </c>
      <c r="E38">
        <v>284.42999300000002</v>
      </c>
      <c r="F38">
        <v>284.42999300000002</v>
      </c>
      <c r="G38" s="6">
        <f t="shared" si="0"/>
        <v>8.9394451559147603E-2</v>
      </c>
      <c r="H38" s="6">
        <f t="shared" si="1"/>
        <v>0.24252424717497523</v>
      </c>
      <c r="J38" s="39" t="s">
        <v>25</v>
      </c>
      <c r="K38" s="35" t="s">
        <v>32</v>
      </c>
      <c r="L38" s="35" t="s">
        <v>33</v>
      </c>
      <c r="M38" s="35" t="s">
        <v>34</v>
      </c>
      <c r="N38" s="35" t="s">
        <v>35</v>
      </c>
      <c r="O38" s="36" t="s">
        <v>36</v>
      </c>
      <c r="P38" s="10"/>
      <c r="Q38" s="39" t="s">
        <v>25</v>
      </c>
      <c r="R38" s="35" t="s">
        <v>32</v>
      </c>
      <c r="S38" s="35" t="s">
        <v>33</v>
      </c>
      <c r="T38" s="35" t="s">
        <v>34</v>
      </c>
      <c r="U38" s="35" t="s">
        <v>35</v>
      </c>
      <c r="V38" s="36" t="s">
        <v>36</v>
      </c>
    </row>
    <row r="39" spans="1:22" x14ac:dyDescent="0.45">
      <c r="A39" s="98">
        <v>44197</v>
      </c>
      <c r="B39">
        <v>174.320007</v>
      </c>
      <c r="C39">
        <v>314.22000100000002</v>
      </c>
      <c r="D39">
        <v>171.55999800000001</v>
      </c>
      <c r="E39">
        <v>261.08999599999999</v>
      </c>
      <c r="F39">
        <v>261.08999599999999</v>
      </c>
      <c r="G39" s="6">
        <f t="shared" si="0"/>
        <v>0.49194283428571423</v>
      </c>
      <c r="H39" s="6">
        <f t="shared" si="1"/>
        <v>0.83154584205579207</v>
      </c>
      <c r="J39" s="40">
        <v>1</v>
      </c>
      <c r="K39" s="20">
        <f>$K$19+($J39*$K$23)</f>
        <v>0.15721895683149803</v>
      </c>
      <c r="L39" s="20">
        <f>$K$19-($J39*$K$23)</f>
        <v>-0.12257781059571857</v>
      </c>
      <c r="M39" s="19">
        <f>COUNTIFS(G:G,"&lt;"&amp;K39,G:G,"&gt;"&amp;L39)</f>
        <v>43</v>
      </c>
      <c r="N39" s="20">
        <f>M39/$K$31</f>
        <v>0.70491803278688525</v>
      </c>
      <c r="O39" s="21">
        <v>0.68269999999999997</v>
      </c>
      <c r="P39" s="10"/>
      <c r="Q39" s="40">
        <v>1</v>
      </c>
      <c r="R39" s="20" t="e">
        <f>$R$19+($Q39*$R$23)</f>
        <v>#DIV/0!</v>
      </c>
      <c r="S39" s="20" t="e">
        <f>$R$19-($Q39*$R$23)</f>
        <v>#DIV/0!</v>
      </c>
      <c r="T39" s="19">
        <f>COUNTIFS(H:H,"&lt;"&amp;R39,H:H,"&gt;"&amp;S39)</f>
        <v>1</v>
      </c>
      <c r="U39" s="20">
        <f>T39/$R$31</f>
        <v>1.6129032258064516E-2</v>
      </c>
      <c r="V39" s="21">
        <v>0.68269999999999997</v>
      </c>
    </row>
    <row r="40" spans="1:22" x14ac:dyDescent="0.45">
      <c r="A40" s="98">
        <v>44166</v>
      </c>
      <c r="B40">
        <v>223.05999800000001</v>
      </c>
      <c r="C40">
        <v>230.990005</v>
      </c>
      <c r="D40">
        <v>163.490005</v>
      </c>
      <c r="E40">
        <v>175</v>
      </c>
      <c r="F40">
        <v>175</v>
      </c>
      <c r="G40" s="6">
        <f t="shared" si="0"/>
        <v>-0.21135644555267538</v>
      </c>
      <c r="H40" s="6">
        <f t="shared" si="1"/>
        <v>0.41286927601476309</v>
      </c>
      <c r="J40" s="40">
        <v>2</v>
      </c>
      <c r="K40" s="20">
        <f>$K$19+($J40*$K$23)</f>
        <v>0.2971173405451063</v>
      </c>
      <c r="L40" s="20">
        <f>$K$19-($J40*$K$23)</f>
        <v>-0.26247619430932689</v>
      </c>
      <c r="M40" s="19">
        <f>COUNTIFS(G:G,"&lt;"&amp;K40,G:G,"&gt;"&amp;L40)</f>
        <v>59</v>
      </c>
      <c r="N40" s="20">
        <f>M40/$K$31</f>
        <v>0.96721311475409832</v>
      </c>
      <c r="O40" s="21">
        <v>0.95450000000000002</v>
      </c>
      <c r="P40" s="10"/>
      <c r="Q40" s="40">
        <v>2</v>
      </c>
      <c r="R40" s="20" t="e">
        <f t="shared" ref="R40:R41" si="13">$R$19+($Q40*$R$23)</f>
        <v>#DIV/0!</v>
      </c>
      <c r="S40" s="20" t="e">
        <f t="shared" ref="S40:S41" si="14">$R$19-($Q40*$R$23)</f>
        <v>#DIV/0!</v>
      </c>
      <c r="T40" s="19">
        <f t="shared" ref="T40:T41" si="15">COUNTIFS(H:H,"&lt;"&amp;R40,H:H,"&gt;"&amp;S40)</f>
        <v>1</v>
      </c>
      <c r="U40" s="20">
        <f t="shared" ref="U40:U41" si="16">T40/$R$31</f>
        <v>1.6129032258064516E-2</v>
      </c>
      <c r="V40" s="21">
        <v>0.95450000000000002</v>
      </c>
    </row>
    <row r="41" spans="1:22" ht="14.65" thickBot="1" x14ac:dyDescent="0.5">
      <c r="A41" s="98">
        <v>44136</v>
      </c>
      <c r="B41">
        <v>263.07000699999998</v>
      </c>
      <c r="C41">
        <v>273.94000199999999</v>
      </c>
      <c r="D41">
        <v>218.96000699999999</v>
      </c>
      <c r="E41">
        <v>221.89999399999999</v>
      </c>
      <c r="F41">
        <v>221.89999399999999</v>
      </c>
      <c r="G41" s="6">
        <f t="shared" si="0"/>
        <v>-0.149906160785757</v>
      </c>
      <c r="H41" s="6">
        <f t="shared" si="1"/>
        <v>0.25109605974756843</v>
      </c>
      <c r="J41" s="52">
        <v>3</v>
      </c>
      <c r="K41" s="53">
        <f>$K$19+($J41*$K$23)</f>
        <v>0.4370157242587146</v>
      </c>
      <c r="L41" s="53">
        <f>$K$19-($J41*$K$23)</f>
        <v>-0.40237457802293519</v>
      </c>
      <c r="M41" s="54">
        <f>COUNTIFS(G:G,"&lt;"&amp;K41,G:G,"&gt;"&amp;L41)</f>
        <v>60</v>
      </c>
      <c r="N41" s="53">
        <f>M41/$K$31</f>
        <v>0.98360655737704916</v>
      </c>
      <c r="O41" s="55">
        <v>0.99729999999999996</v>
      </c>
      <c r="P41" s="10"/>
      <c r="Q41" s="22">
        <v>3</v>
      </c>
      <c r="R41" s="24" t="e">
        <f t="shared" si="13"/>
        <v>#DIV/0!</v>
      </c>
      <c r="S41" s="24" t="e">
        <f t="shared" si="14"/>
        <v>#DIV/0!</v>
      </c>
      <c r="T41" s="23">
        <f t="shared" si="15"/>
        <v>1</v>
      </c>
      <c r="U41" s="24">
        <f t="shared" si="16"/>
        <v>1.6129032258064516E-2</v>
      </c>
      <c r="V41" s="25">
        <v>0.99729999999999996</v>
      </c>
    </row>
    <row r="42" spans="1:22" ht="14.65" thickBot="1" x14ac:dyDescent="0.5">
      <c r="A42" s="98">
        <v>44105</v>
      </c>
      <c r="B42">
        <v>196.05999800000001</v>
      </c>
      <c r="C42">
        <v>277</v>
      </c>
      <c r="D42">
        <v>183.550003</v>
      </c>
      <c r="E42">
        <v>261.02999899999998</v>
      </c>
      <c r="F42">
        <v>261.02999899999998</v>
      </c>
      <c r="G42" s="6">
        <f t="shared" si="0"/>
        <v>0.3428850307931619</v>
      </c>
      <c r="H42" s="6">
        <f t="shared" si="1"/>
        <v>0.50912555419571415</v>
      </c>
      <c r="J42" s="95" t="s">
        <v>42</v>
      </c>
      <c r="K42" s="96"/>
      <c r="L42" s="96"/>
      <c r="M42" s="96"/>
      <c r="N42" s="96"/>
      <c r="O42" s="97"/>
      <c r="P42" s="10"/>
      <c r="Q42" s="95" t="s">
        <v>42</v>
      </c>
      <c r="R42" s="96"/>
      <c r="S42" s="96"/>
      <c r="T42" s="96"/>
      <c r="U42" s="96"/>
      <c r="V42" s="97"/>
    </row>
    <row r="43" spans="1:22" x14ac:dyDescent="0.45">
      <c r="A43" s="98">
        <v>44075</v>
      </c>
      <c r="B43">
        <v>209.199997</v>
      </c>
      <c r="C43">
        <v>215.44000199999999</v>
      </c>
      <c r="D43">
        <v>186.08000200000001</v>
      </c>
      <c r="E43">
        <v>194.38000500000001</v>
      </c>
      <c r="F43">
        <v>194.38000500000001</v>
      </c>
      <c r="G43" s="6">
        <f t="shared" si="0"/>
        <v>-7.0619122274514542E-2</v>
      </c>
      <c r="H43" s="6">
        <f t="shared" si="1"/>
        <v>0.1577815976162768</v>
      </c>
      <c r="J43" s="66">
        <v>0.01</v>
      </c>
      <c r="K43" s="67">
        <f>_xlfn.PERCENTILE.INC(G:G,J43)</f>
        <v>-0.21729453987617814</v>
      </c>
      <c r="L43" s="68">
        <v>0.2</v>
      </c>
      <c r="M43" s="67">
        <f>_xlfn.PERCENTILE.INC(G:G,L43)</f>
        <v>-9.5622386214481506E-2</v>
      </c>
      <c r="N43" s="68">
        <v>0.85</v>
      </c>
      <c r="O43" s="69">
        <f t="shared" ref="O43:O57" si="17">_xlfn.PERCENTILE.INC(G:G,N43)</f>
        <v>0.13432068260357322</v>
      </c>
      <c r="P43" s="10"/>
      <c r="Q43" s="66">
        <v>0.01</v>
      </c>
      <c r="R43" s="67" t="e">
        <f t="shared" ref="R43:R57" si="18">_xlfn.PERCENTILE.INC(H:H,Q43)</f>
        <v>#DIV/0!</v>
      </c>
      <c r="S43" s="68">
        <v>0.2</v>
      </c>
      <c r="T43" s="67" t="e">
        <f t="shared" ref="T43:T55" si="19">_xlfn.PERCENTILE.INC(H:H,S43)</f>
        <v>#DIV/0!</v>
      </c>
      <c r="U43" s="68">
        <v>0.85</v>
      </c>
      <c r="V43" s="69" t="e">
        <f t="shared" ref="V43:V57" si="20">_xlfn.PERCENTILE.INC(H:H,U43)</f>
        <v>#DIV/0!</v>
      </c>
    </row>
    <row r="44" spans="1:22" x14ac:dyDescent="0.45">
      <c r="A44" s="98">
        <v>44044</v>
      </c>
      <c r="B44">
        <v>223.28999300000001</v>
      </c>
      <c r="C44">
        <v>241.80999800000001</v>
      </c>
      <c r="D44">
        <v>208.470001</v>
      </c>
      <c r="E44">
        <v>209.14999399999999</v>
      </c>
      <c r="F44">
        <v>209.14999399999999</v>
      </c>
      <c r="G44" s="6">
        <f t="shared" si="0"/>
        <v>-5.7500832634836935E-2</v>
      </c>
      <c r="H44" s="6">
        <f t="shared" si="1"/>
        <v>0.15992707267267683</v>
      </c>
      <c r="J44" s="56">
        <v>0.02</v>
      </c>
      <c r="K44" s="57">
        <f>_xlfn.PERCENTILE.INC(G:G,J44)</f>
        <v>-0.21297993593303075</v>
      </c>
      <c r="L44" s="58">
        <v>0.25</v>
      </c>
      <c r="M44" s="57">
        <f t="shared" ref="M44:M55" si="21">_xlfn.PERCENTILE.INC(G:G,L44)</f>
        <v>-8.1368960255960493E-2</v>
      </c>
      <c r="N44" s="58">
        <v>0.86</v>
      </c>
      <c r="O44" s="59">
        <f t="shared" si="17"/>
        <v>0.14666854827978321</v>
      </c>
      <c r="P44" s="10"/>
      <c r="Q44" s="56">
        <v>0.02</v>
      </c>
      <c r="R44" s="57" t="e">
        <f t="shared" si="18"/>
        <v>#DIV/0!</v>
      </c>
      <c r="S44" s="58">
        <v>0.25</v>
      </c>
      <c r="T44" s="57" t="e">
        <f t="shared" si="19"/>
        <v>#DIV/0!</v>
      </c>
      <c r="U44" s="58">
        <v>0.86</v>
      </c>
      <c r="V44" s="59" t="e">
        <f t="shared" si="20"/>
        <v>#DIV/0!</v>
      </c>
    </row>
    <row r="45" spans="1:22" x14ac:dyDescent="0.45">
      <c r="A45" s="98">
        <v>44013</v>
      </c>
      <c r="B45">
        <v>179.070007</v>
      </c>
      <c r="C45">
        <v>225.63999899999999</v>
      </c>
      <c r="D45">
        <v>178.63999899999999</v>
      </c>
      <c r="E45">
        <v>221.91000399999999</v>
      </c>
      <c r="F45">
        <v>221.91000399999999</v>
      </c>
      <c r="G45" s="6">
        <f t="shared" si="0"/>
        <v>0.24096854553864311</v>
      </c>
      <c r="H45" s="6">
        <f t="shared" si="1"/>
        <v>0.26309897146831041</v>
      </c>
      <c r="J45" s="56">
        <v>0.03</v>
      </c>
      <c r="K45" s="57">
        <f t="shared" ref="K45:K57" si="22">_xlfn.PERCENTILE.INC(G:G,J45)</f>
        <v>-0.21176231814776422</v>
      </c>
      <c r="L45" s="58">
        <v>0.3</v>
      </c>
      <c r="M45" s="57">
        <f t="shared" si="21"/>
        <v>-7.0619122274514542E-2</v>
      </c>
      <c r="N45" s="58">
        <v>0.87</v>
      </c>
      <c r="O45" s="59">
        <f t="shared" si="17"/>
        <v>0.15586325523107428</v>
      </c>
      <c r="P45" s="10"/>
      <c r="Q45" s="56">
        <v>0.03</v>
      </c>
      <c r="R45" s="57" t="e">
        <f t="shared" si="18"/>
        <v>#DIV/0!</v>
      </c>
      <c r="S45" s="58">
        <v>0.3</v>
      </c>
      <c r="T45" s="57" t="e">
        <f t="shared" si="19"/>
        <v>#DIV/0!</v>
      </c>
      <c r="U45" s="58">
        <v>0.87</v>
      </c>
      <c r="V45" s="59" t="e">
        <f t="shared" si="20"/>
        <v>#DIV/0!</v>
      </c>
    </row>
    <row r="46" spans="1:22" x14ac:dyDescent="0.45">
      <c r="A46" s="98">
        <v>43983</v>
      </c>
      <c r="B46">
        <v>172.83000200000001</v>
      </c>
      <c r="C46">
        <v>185.03999300000001</v>
      </c>
      <c r="D46">
        <v>163.479996</v>
      </c>
      <c r="E46">
        <v>178.820007</v>
      </c>
      <c r="F46">
        <v>178.820007</v>
      </c>
      <c r="G46" s="6">
        <f t="shared" si="0"/>
        <v>3.7118716356788331E-2</v>
      </c>
      <c r="H46" s="6">
        <f t="shared" si="1"/>
        <v>0.13188156060390416</v>
      </c>
      <c r="J46" s="56">
        <v>0.04</v>
      </c>
      <c r="K46" s="57">
        <f t="shared" si="22"/>
        <v>-0.21074592332049272</v>
      </c>
      <c r="L46" s="58">
        <v>0.35</v>
      </c>
      <c r="M46" s="57">
        <f t="shared" si="21"/>
        <v>-5.4713356987384477E-2</v>
      </c>
      <c r="N46" s="58">
        <v>0.88</v>
      </c>
      <c r="O46" s="59">
        <f t="shared" si="17"/>
        <v>0.15875164473252762</v>
      </c>
      <c r="P46" s="10"/>
      <c r="Q46" s="56">
        <v>0.04</v>
      </c>
      <c r="R46" s="57" t="e">
        <f t="shared" si="18"/>
        <v>#DIV/0!</v>
      </c>
      <c r="S46" s="58">
        <v>0.35</v>
      </c>
      <c r="T46" s="57" t="e">
        <f t="shared" si="19"/>
        <v>#DIV/0!</v>
      </c>
      <c r="U46" s="58">
        <v>0.88</v>
      </c>
      <c r="V46" s="59" t="e">
        <f t="shared" si="20"/>
        <v>#DIV/0!</v>
      </c>
    </row>
    <row r="47" spans="1:22" x14ac:dyDescent="0.45">
      <c r="A47" s="98">
        <v>43952</v>
      </c>
      <c r="B47">
        <v>174.529999</v>
      </c>
      <c r="C47">
        <v>192.91999799999999</v>
      </c>
      <c r="D47">
        <v>161.11000100000001</v>
      </c>
      <c r="E47">
        <v>172.41999799999999</v>
      </c>
      <c r="F47">
        <v>172.41999799999999</v>
      </c>
      <c r="G47" s="6">
        <f t="shared" si="0"/>
        <v>-2.7633706330724494E-2</v>
      </c>
      <c r="H47" s="6">
        <f t="shared" si="1"/>
        <v>0.19744272113808739</v>
      </c>
      <c r="J47" s="56">
        <v>0.05</v>
      </c>
      <c r="K47" s="57">
        <f t="shared" si="22"/>
        <v>-0.20983013997221875</v>
      </c>
      <c r="L47" s="58">
        <v>0.4</v>
      </c>
      <c r="M47" s="57">
        <f t="shared" si="21"/>
        <v>-2.8570338820479803E-2</v>
      </c>
      <c r="N47" s="58">
        <v>0.89</v>
      </c>
      <c r="O47" s="59">
        <f t="shared" si="17"/>
        <v>0.16057363564469782</v>
      </c>
      <c r="P47" s="10"/>
      <c r="Q47" s="56">
        <v>0.05</v>
      </c>
      <c r="R47" s="57" t="e">
        <f t="shared" si="18"/>
        <v>#DIV/0!</v>
      </c>
      <c r="S47" s="58">
        <v>0.4</v>
      </c>
      <c r="T47" s="57" t="e">
        <f t="shared" si="19"/>
        <v>#DIV/0!</v>
      </c>
      <c r="U47" s="58">
        <v>0.89</v>
      </c>
      <c r="V47" s="59" t="e">
        <f t="shared" si="20"/>
        <v>#DIV/0!</v>
      </c>
    </row>
    <row r="48" spans="1:22" x14ac:dyDescent="0.45">
      <c r="A48" s="98">
        <v>43922</v>
      </c>
      <c r="B48">
        <v>156.259995</v>
      </c>
      <c r="C48">
        <v>193.21000699999999</v>
      </c>
      <c r="D48">
        <v>149.229996</v>
      </c>
      <c r="E48">
        <v>177.320007</v>
      </c>
      <c r="F48">
        <v>177.320007</v>
      </c>
      <c r="G48" s="6">
        <f t="shared" si="0"/>
        <v>9.9113647813628594E-2</v>
      </c>
      <c r="H48" s="6">
        <f t="shared" si="1"/>
        <v>0.29471294095591877</v>
      </c>
      <c r="J48" s="56">
        <v>0.06</v>
      </c>
      <c r="K48" s="57">
        <f t="shared" si="22"/>
        <v>-0.19546509470038256</v>
      </c>
      <c r="L48" s="58">
        <v>0.45</v>
      </c>
      <c r="M48" s="57">
        <f t="shared" si="21"/>
        <v>-1.8892925509776712E-2</v>
      </c>
      <c r="N48" s="58">
        <v>0.9</v>
      </c>
      <c r="O48" s="59">
        <f t="shared" si="17"/>
        <v>0.16186242726222644</v>
      </c>
      <c r="P48" s="10"/>
      <c r="Q48" s="56">
        <v>0.06</v>
      </c>
      <c r="R48" s="57" t="e">
        <f t="shared" si="18"/>
        <v>#DIV/0!</v>
      </c>
      <c r="S48" s="58">
        <v>0.45</v>
      </c>
      <c r="T48" s="57" t="e">
        <f t="shared" si="19"/>
        <v>#DIV/0!</v>
      </c>
      <c r="U48" s="58">
        <v>0.9</v>
      </c>
      <c r="V48" s="59" t="e">
        <f t="shared" si="20"/>
        <v>#DIV/0!</v>
      </c>
    </row>
    <row r="49" spans="1:22" x14ac:dyDescent="0.45">
      <c r="A49" s="98">
        <v>43891</v>
      </c>
      <c r="B49">
        <v>167.83999600000001</v>
      </c>
      <c r="C49">
        <v>181.64999399999999</v>
      </c>
      <c r="D49">
        <v>121.800003</v>
      </c>
      <c r="E49">
        <v>161.33000200000001</v>
      </c>
      <c r="F49">
        <v>161.33000200000001</v>
      </c>
      <c r="G49" s="6">
        <f t="shared" si="0"/>
        <v>-2.7312184810610266E-2</v>
      </c>
      <c r="H49" s="6">
        <f t="shared" si="1"/>
        <v>0.49137922435026532</v>
      </c>
      <c r="J49" s="56">
        <v>7.0000000000000007E-2</v>
      </c>
      <c r="K49" s="57">
        <f t="shared" si="22"/>
        <v>-0.17920350524759082</v>
      </c>
      <c r="L49" s="58">
        <v>0.5</v>
      </c>
      <c r="M49" s="57">
        <f t="shared" si="21"/>
        <v>1.9483989239054311E-2</v>
      </c>
      <c r="N49" s="58">
        <v>0.91</v>
      </c>
      <c r="O49" s="59">
        <f t="shared" si="17"/>
        <v>0.16652395893938648</v>
      </c>
      <c r="P49" s="10"/>
      <c r="Q49" s="56">
        <v>7.0000000000000007E-2</v>
      </c>
      <c r="R49" s="57" t="e">
        <f t="shared" si="18"/>
        <v>#DIV/0!</v>
      </c>
      <c r="S49" s="58">
        <v>0.5</v>
      </c>
      <c r="T49" s="57" t="e">
        <f t="shared" si="19"/>
        <v>#DIV/0!</v>
      </c>
      <c r="U49" s="58">
        <v>0.91</v>
      </c>
      <c r="V49" s="59" t="e">
        <f t="shared" si="20"/>
        <v>#DIV/0!</v>
      </c>
    </row>
    <row r="50" spans="1:22" x14ac:dyDescent="0.45">
      <c r="A50" s="98">
        <v>43862</v>
      </c>
      <c r="B50">
        <v>176.13000500000001</v>
      </c>
      <c r="C50">
        <v>194.929993</v>
      </c>
      <c r="D50">
        <v>158</v>
      </c>
      <c r="E50">
        <v>165.86000100000001</v>
      </c>
      <c r="F50">
        <v>165.86000100000001</v>
      </c>
      <c r="G50" s="6">
        <f t="shared" si="0"/>
        <v>-5.4713356987384477E-2</v>
      </c>
      <c r="H50" s="6">
        <f t="shared" si="1"/>
        <v>0.23373413291139239</v>
      </c>
      <c r="J50" s="56">
        <v>0.08</v>
      </c>
      <c r="K50" s="57">
        <f t="shared" si="22"/>
        <v>-0.159148827432888</v>
      </c>
      <c r="L50" s="58">
        <v>0.55000000000000004</v>
      </c>
      <c r="M50" s="57">
        <f t="shared" si="21"/>
        <v>3.7711024390243847E-2</v>
      </c>
      <c r="N50" s="58">
        <v>0.92</v>
      </c>
      <c r="O50" s="59">
        <f t="shared" si="17"/>
        <v>0.17127712411014265</v>
      </c>
      <c r="P50" s="10"/>
      <c r="Q50" s="56">
        <v>0.08</v>
      </c>
      <c r="R50" s="57" t="e">
        <f t="shared" si="18"/>
        <v>#DIV/0!</v>
      </c>
      <c r="S50" s="58">
        <v>0.55000000000000004</v>
      </c>
      <c r="T50" s="57" t="e">
        <f t="shared" si="19"/>
        <v>#DIV/0!</v>
      </c>
      <c r="U50" s="58">
        <v>0.92</v>
      </c>
      <c r="V50" s="59" t="e">
        <f t="shared" si="20"/>
        <v>#DIV/0!</v>
      </c>
    </row>
    <row r="51" spans="1:22" x14ac:dyDescent="0.45">
      <c r="A51" s="98">
        <v>43831</v>
      </c>
      <c r="B51">
        <v>164.16000399999999</v>
      </c>
      <c r="C51">
        <v>180</v>
      </c>
      <c r="D51">
        <v>155.449997</v>
      </c>
      <c r="E51">
        <v>175.46000699999999</v>
      </c>
      <c r="F51">
        <v>175.46000699999999</v>
      </c>
      <c r="G51" s="6">
        <f t="shared" si="0"/>
        <v>6.8119575866084414E-2</v>
      </c>
      <c r="H51" s="6">
        <f t="shared" si="1"/>
        <v>0.15792861674998943</v>
      </c>
      <c r="J51" s="56">
        <v>0.09</v>
      </c>
      <c r="K51" s="57">
        <f t="shared" si="22"/>
        <v>-0.15144082521109503</v>
      </c>
      <c r="L51" s="58">
        <v>0.6</v>
      </c>
      <c r="M51" s="57">
        <f t="shared" si="21"/>
        <v>6.0966520446096628E-2</v>
      </c>
      <c r="N51" s="58">
        <v>0.93</v>
      </c>
      <c r="O51" s="59">
        <f t="shared" si="17"/>
        <v>0.17621355626809107</v>
      </c>
      <c r="P51" s="10"/>
      <c r="Q51" s="56">
        <v>0.09</v>
      </c>
      <c r="R51" s="57" t="e">
        <f t="shared" si="18"/>
        <v>#DIV/0!</v>
      </c>
      <c r="S51" s="58">
        <v>0.6</v>
      </c>
      <c r="T51" s="57" t="e">
        <f t="shared" si="19"/>
        <v>#DIV/0!</v>
      </c>
      <c r="U51" s="58">
        <v>0.93</v>
      </c>
      <c r="V51" s="59" t="e">
        <f t="shared" si="20"/>
        <v>#DIV/0!</v>
      </c>
    </row>
    <row r="52" spans="1:22" x14ac:dyDescent="0.45">
      <c r="A52" s="98">
        <v>43800</v>
      </c>
      <c r="B52">
        <v>176.89999399999999</v>
      </c>
      <c r="C52">
        <v>178.63000500000001</v>
      </c>
      <c r="D52">
        <v>155.41000399999999</v>
      </c>
      <c r="E52">
        <v>164.270004</v>
      </c>
      <c r="F52">
        <v>164.270004</v>
      </c>
      <c r="G52" s="6">
        <f t="shared" si="0"/>
        <v>-7.1501210394542242E-2</v>
      </c>
      <c r="H52" s="6">
        <f t="shared" si="1"/>
        <v>0.14941123738726644</v>
      </c>
      <c r="J52" s="56">
        <v>0.1</v>
      </c>
      <c r="K52" s="57">
        <f t="shared" si="22"/>
        <v>-0.149906160785757</v>
      </c>
      <c r="L52" s="58">
        <v>0.65</v>
      </c>
      <c r="M52" s="57">
        <f t="shared" si="21"/>
        <v>7.1925892223773755E-2</v>
      </c>
      <c r="N52" s="58">
        <v>0.94</v>
      </c>
      <c r="O52" s="59">
        <f t="shared" si="17"/>
        <v>0.19545396052755512</v>
      </c>
      <c r="P52" s="10"/>
      <c r="Q52" s="56">
        <v>0.1</v>
      </c>
      <c r="R52" s="57" t="e">
        <f t="shared" si="18"/>
        <v>#DIV/0!</v>
      </c>
      <c r="S52" s="58">
        <v>0.65</v>
      </c>
      <c r="T52" s="57" t="e">
        <f t="shared" si="19"/>
        <v>#DIV/0!</v>
      </c>
      <c r="U52" s="58">
        <v>0.94</v>
      </c>
      <c r="V52" s="59" t="e">
        <f t="shared" si="20"/>
        <v>#DIV/0!</v>
      </c>
    </row>
    <row r="53" spans="1:22" x14ac:dyDescent="0.45">
      <c r="A53" s="98">
        <v>43770</v>
      </c>
      <c r="B53">
        <v>156.949997</v>
      </c>
      <c r="C53">
        <v>178.740005</v>
      </c>
      <c r="D53">
        <v>153.279999</v>
      </c>
      <c r="E53">
        <v>176.91999799999999</v>
      </c>
      <c r="F53">
        <v>176.91999799999999</v>
      </c>
      <c r="G53" s="6">
        <f t="shared" si="0"/>
        <v>0.13432068260357322</v>
      </c>
      <c r="H53" s="6">
        <f t="shared" si="1"/>
        <v>0.1661012928372996</v>
      </c>
      <c r="J53" s="56">
        <v>0.11</v>
      </c>
      <c r="K53" s="57">
        <f t="shared" si="22"/>
        <v>-0.14911406479125697</v>
      </c>
      <c r="L53" s="58">
        <v>0.7</v>
      </c>
      <c r="M53" s="57">
        <f t="shared" si="21"/>
        <v>9.9113647813628594E-2</v>
      </c>
      <c r="N53" s="58">
        <v>0.95</v>
      </c>
      <c r="O53" s="59">
        <f t="shared" si="17"/>
        <v>0.22184635083777721</v>
      </c>
      <c r="P53" s="10"/>
      <c r="Q53" s="56">
        <v>0.11</v>
      </c>
      <c r="R53" s="57" t="e">
        <f t="shared" si="18"/>
        <v>#DIV/0!</v>
      </c>
      <c r="S53" s="58">
        <v>0.7</v>
      </c>
      <c r="T53" s="57" t="e">
        <f t="shared" si="19"/>
        <v>#DIV/0!</v>
      </c>
      <c r="U53" s="58">
        <v>0.95</v>
      </c>
      <c r="V53" s="59" t="e">
        <f t="shared" si="20"/>
        <v>#DIV/0!</v>
      </c>
    </row>
    <row r="54" spans="1:22" x14ac:dyDescent="0.45">
      <c r="A54" s="98">
        <v>43739</v>
      </c>
      <c r="B54">
        <v>134.929993</v>
      </c>
      <c r="C54">
        <v>163.25</v>
      </c>
      <c r="D54">
        <v>130.800003</v>
      </c>
      <c r="E54">
        <v>155.970001</v>
      </c>
      <c r="F54">
        <v>155.970001</v>
      </c>
      <c r="G54" s="6">
        <f t="shared" si="0"/>
        <v>0.15971444123301207</v>
      </c>
      <c r="H54" s="6">
        <f t="shared" si="1"/>
        <v>0.24808865638940386</v>
      </c>
      <c r="J54" s="56">
        <v>0.12</v>
      </c>
      <c r="K54" s="57">
        <f t="shared" si="22"/>
        <v>-0.1451814524385886</v>
      </c>
      <c r="L54" s="58">
        <v>0.75</v>
      </c>
      <c r="M54" s="57">
        <f t="shared" si="21"/>
        <v>0.11933832603609851</v>
      </c>
      <c r="N54" s="58">
        <v>0.96</v>
      </c>
      <c r="O54" s="59">
        <f t="shared" si="17"/>
        <v>0.23331966765829665</v>
      </c>
      <c r="P54" s="10"/>
      <c r="Q54" s="56">
        <v>0.12</v>
      </c>
      <c r="R54" s="57" t="e">
        <f t="shared" si="18"/>
        <v>#DIV/0!</v>
      </c>
      <c r="S54" s="58">
        <v>0.75</v>
      </c>
      <c r="T54" s="57" t="e">
        <f t="shared" si="19"/>
        <v>#DIV/0!</v>
      </c>
      <c r="U54" s="58">
        <v>0.96</v>
      </c>
      <c r="V54" s="59" t="e">
        <f t="shared" si="20"/>
        <v>#DIV/0!</v>
      </c>
    </row>
    <row r="55" spans="1:22" x14ac:dyDescent="0.45">
      <c r="A55" s="98">
        <v>43709</v>
      </c>
      <c r="B55">
        <v>144.80999800000001</v>
      </c>
      <c r="C55">
        <v>154.979996</v>
      </c>
      <c r="D55">
        <v>130.66000399999999</v>
      </c>
      <c r="E55">
        <v>134.490005</v>
      </c>
      <c r="F55">
        <v>134.490005</v>
      </c>
      <c r="G55" s="6">
        <f t="shared" si="0"/>
        <v>-7.5987617808568553E-2</v>
      </c>
      <c r="H55" s="6">
        <f t="shared" si="1"/>
        <v>0.18613187858160493</v>
      </c>
      <c r="J55" s="56">
        <v>0.13</v>
      </c>
      <c r="K55" s="57">
        <f t="shared" si="22"/>
        <v>-0.1349678073695835</v>
      </c>
      <c r="L55" s="58">
        <v>0.8</v>
      </c>
      <c r="M55" s="57">
        <f t="shared" si="21"/>
        <v>0.1256405471568649</v>
      </c>
      <c r="N55" s="58">
        <v>0.97</v>
      </c>
      <c r="O55" s="59">
        <f t="shared" si="17"/>
        <v>0.26135184258954641</v>
      </c>
      <c r="P55" s="10"/>
      <c r="Q55" s="56">
        <v>0.13</v>
      </c>
      <c r="R55" s="57" t="e">
        <f t="shared" si="18"/>
        <v>#DIV/0!</v>
      </c>
      <c r="S55" s="58">
        <v>0.8</v>
      </c>
      <c r="T55" s="57" t="e">
        <f t="shared" si="19"/>
        <v>#DIV/0!</v>
      </c>
      <c r="U55" s="58">
        <v>0.97</v>
      </c>
      <c r="V55" s="59" t="e">
        <f t="shared" si="20"/>
        <v>#DIV/0!</v>
      </c>
    </row>
    <row r="56" spans="1:22" x14ac:dyDescent="0.45">
      <c r="A56" s="98">
        <v>43678</v>
      </c>
      <c r="B56">
        <v>168.570007</v>
      </c>
      <c r="C56">
        <v>172.729996</v>
      </c>
      <c r="D56">
        <v>138.020004</v>
      </c>
      <c r="E56">
        <v>145.550003</v>
      </c>
      <c r="F56">
        <v>145.550003</v>
      </c>
      <c r="G56" s="6">
        <f t="shared" si="0"/>
        <v>-0.1315632590132485</v>
      </c>
      <c r="H56" s="6">
        <f t="shared" si="1"/>
        <v>0.25148522673568391</v>
      </c>
      <c r="J56" s="56">
        <v>0.14000000000000001</v>
      </c>
      <c r="K56" s="57">
        <f t="shared" si="22"/>
        <v>-0.13017738963985678</v>
      </c>
      <c r="L56" s="58"/>
      <c r="M56" s="57"/>
      <c r="N56" s="58">
        <v>0.98</v>
      </c>
      <c r="O56" s="59">
        <f t="shared" si="17"/>
        <v>0.32250173374225788</v>
      </c>
      <c r="P56" s="10"/>
      <c r="Q56" s="56">
        <v>0.14000000000000001</v>
      </c>
      <c r="R56" s="57" t="e">
        <f t="shared" si="18"/>
        <v>#DIV/0!</v>
      </c>
      <c r="S56" s="58"/>
      <c r="T56" s="57"/>
      <c r="U56" s="58">
        <v>0.98</v>
      </c>
      <c r="V56" s="59" t="e">
        <f t="shared" si="20"/>
        <v>#DIV/0!</v>
      </c>
    </row>
    <row r="57" spans="1:22" ht="14.65" thickBot="1" x14ac:dyDescent="0.5">
      <c r="A57" s="98">
        <v>43647</v>
      </c>
      <c r="B57">
        <v>161</v>
      </c>
      <c r="C57">
        <v>185.699997</v>
      </c>
      <c r="D57">
        <v>157.929993</v>
      </c>
      <c r="E57">
        <v>167.60000600000001</v>
      </c>
      <c r="F57">
        <v>167.60000600000001</v>
      </c>
      <c r="G57" s="6">
        <f t="shared" si="0"/>
        <v>4.750003750000005E-2</v>
      </c>
      <c r="H57" s="6">
        <f t="shared" si="1"/>
        <v>0.17583742943621863</v>
      </c>
      <c r="J57" s="60">
        <v>0.15</v>
      </c>
      <c r="K57" s="61">
        <f t="shared" si="22"/>
        <v>-0.12809858557976919</v>
      </c>
      <c r="L57" s="62"/>
      <c r="M57" s="63"/>
      <c r="N57" s="64">
        <v>0.99</v>
      </c>
      <c r="O57" s="65">
        <f t="shared" si="17"/>
        <v>0.4025081521901826</v>
      </c>
      <c r="P57" s="41"/>
      <c r="Q57" s="60">
        <v>0.15</v>
      </c>
      <c r="R57" s="61" t="e">
        <f t="shared" si="18"/>
        <v>#DIV/0!</v>
      </c>
      <c r="S57" s="62"/>
      <c r="T57" s="63"/>
      <c r="U57" s="64">
        <v>0.99</v>
      </c>
      <c r="V57" s="65" t="e">
        <f t="shared" si="20"/>
        <v>#DIV/0!</v>
      </c>
    </row>
    <row r="58" spans="1:22" ht="14.65" thickBot="1" x14ac:dyDescent="0.5">
      <c r="A58" s="98">
        <v>43617</v>
      </c>
      <c r="B58">
        <v>142.699997</v>
      </c>
      <c r="C58">
        <v>170</v>
      </c>
      <c r="D58">
        <v>140</v>
      </c>
      <c r="E58">
        <v>160</v>
      </c>
      <c r="F58">
        <v>160</v>
      </c>
      <c r="G58" s="6">
        <f t="shared" si="0"/>
        <v>0.12123338026419163</v>
      </c>
      <c r="H58" s="6">
        <f t="shared" si="1"/>
        <v>0.21428571428571427</v>
      </c>
      <c r="J58" s="42"/>
      <c r="L58" s="42"/>
      <c r="N58" s="42"/>
      <c r="O58" s="42"/>
    </row>
    <row r="59" spans="1:22" x14ac:dyDescent="0.45">
      <c r="A59" s="98">
        <v>43586</v>
      </c>
      <c r="B59">
        <v>134.88000500000001</v>
      </c>
      <c r="C59">
        <v>147.300003</v>
      </c>
      <c r="D59">
        <v>123.129997</v>
      </c>
      <c r="E59">
        <v>142.699997</v>
      </c>
      <c r="F59">
        <v>142.699997</v>
      </c>
      <c r="G59" s="6">
        <f t="shared" si="0"/>
        <v>6.0966520446096628E-2</v>
      </c>
      <c r="H59" s="6">
        <f t="shared" si="1"/>
        <v>0.19629665060415782</v>
      </c>
      <c r="J59" s="70" t="s">
        <v>44</v>
      </c>
      <c r="K59" s="99">
        <v>8.5199999999999998E-2</v>
      </c>
      <c r="L59" s="42"/>
      <c r="N59" s="42"/>
    </row>
    <row r="60" spans="1:22" ht="14.65" thickBot="1" x14ac:dyDescent="0.5">
      <c r="A60" s="98">
        <v>43556</v>
      </c>
      <c r="B60">
        <v>148.429993</v>
      </c>
      <c r="C60">
        <v>149.529999</v>
      </c>
      <c r="D60">
        <v>122.400002</v>
      </c>
      <c r="E60">
        <v>134.5</v>
      </c>
      <c r="F60">
        <v>134.5</v>
      </c>
      <c r="G60" s="6">
        <f t="shared" si="0"/>
        <v>-8.5096220838589948E-2</v>
      </c>
      <c r="H60" s="6">
        <f t="shared" si="1"/>
        <v>0.22165029866584482</v>
      </c>
      <c r="J60" s="72" t="s">
        <v>45</v>
      </c>
      <c r="K60" s="100">
        <f>K59*3</f>
        <v>0.25559999999999999</v>
      </c>
      <c r="L60" s="42"/>
      <c r="N60" s="42"/>
    </row>
    <row r="61" spans="1:22" ht="14.65" thickBot="1" x14ac:dyDescent="0.5">
      <c r="A61" s="98">
        <v>43525</v>
      </c>
      <c r="B61">
        <v>134.71000699999999</v>
      </c>
      <c r="C61">
        <v>162.5</v>
      </c>
      <c r="D61">
        <v>134.13999899999999</v>
      </c>
      <c r="E61">
        <v>147.009995</v>
      </c>
      <c r="F61">
        <v>147.009995</v>
      </c>
      <c r="G61" s="6">
        <f t="shared" si="0"/>
        <v>9.979798907455667E-2</v>
      </c>
      <c r="H61" s="6">
        <f t="shared" si="1"/>
        <v>0.21142091256464088</v>
      </c>
      <c r="J61" s="42"/>
      <c r="L61" s="42"/>
      <c r="N61" s="42"/>
    </row>
    <row r="62" spans="1:22" x14ac:dyDescent="0.45">
      <c r="A62" s="98">
        <v>43497</v>
      </c>
      <c r="B62">
        <v>145.08999600000001</v>
      </c>
      <c r="C62">
        <v>155.77499399999999</v>
      </c>
      <c r="D62">
        <v>124.81500200000001</v>
      </c>
      <c r="E62">
        <v>133.66999799999999</v>
      </c>
      <c r="F62">
        <v>133.66999799999999</v>
      </c>
      <c r="G62" s="6">
        <f t="shared" si="0"/>
        <v>-8.1368960255960493E-2</v>
      </c>
      <c r="H62" s="6">
        <f t="shared" si="1"/>
        <v>0.24804704165289349</v>
      </c>
      <c r="J62" s="70" t="s">
        <v>43</v>
      </c>
      <c r="K62" s="78">
        <v>231.26</v>
      </c>
      <c r="L62" s="42"/>
      <c r="N62" s="42"/>
    </row>
    <row r="63" spans="1:22" x14ac:dyDescent="0.45">
      <c r="A63" s="98">
        <v>43466</v>
      </c>
      <c r="B63">
        <v>120.589996</v>
      </c>
      <c r="C63">
        <v>148</v>
      </c>
      <c r="D63">
        <v>115.550003</v>
      </c>
      <c r="E63">
        <v>145.509995</v>
      </c>
      <c r="F63">
        <v>145.509995</v>
      </c>
      <c r="H63" s="6">
        <f t="shared" si="1"/>
        <v>0.28083077591958172</v>
      </c>
      <c r="J63" s="71" t="s">
        <v>46</v>
      </c>
      <c r="K63" s="74">
        <f>K62*(1-K59)</f>
        <v>211.556648</v>
      </c>
      <c r="L63" s="42"/>
      <c r="N63" s="42"/>
    </row>
    <row r="64" spans="1:22" ht="14.65" thickBot="1" x14ac:dyDescent="0.5">
      <c r="A64" s="98"/>
      <c r="B64"/>
      <c r="C64"/>
      <c r="D64"/>
      <c r="E64"/>
      <c r="F64"/>
      <c r="J64" s="72" t="s">
        <v>47</v>
      </c>
      <c r="K64" s="75">
        <f>K62*(1+K60)</f>
        <v>290.37005599999998</v>
      </c>
      <c r="L64" s="42"/>
      <c r="N64" s="42"/>
    </row>
    <row r="65" spans="1:14" x14ac:dyDescent="0.45">
      <c r="A65" s="98"/>
      <c r="B65"/>
      <c r="C65"/>
      <c r="D65"/>
      <c r="E65"/>
      <c r="F65"/>
      <c r="L65" s="42"/>
      <c r="N65" s="42"/>
    </row>
    <row r="66" spans="1:14" x14ac:dyDescent="0.45">
      <c r="A66" s="98"/>
      <c r="B66"/>
      <c r="C66"/>
      <c r="D66"/>
      <c r="E66"/>
      <c r="F66"/>
      <c r="J66" s="42"/>
      <c r="L66" s="42"/>
      <c r="N66" s="42"/>
    </row>
    <row r="67" spans="1:14" x14ac:dyDescent="0.45">
      <c r="A67" s="98"/>
      <c r="B67"/>
      <c r="C67"/>
      <c r="D67"/>
      <c r="E67"/>
      <c r="F67"/>
      <c r="J67" s="42"/>
      <c r="L67" s="42"/>
      <c r="N67" s="42"/>
    </row>
    <row r="68" spans="1:14" x14ac:dyDescent="0.45">
      <c r="A68" s="98"/>
      <c r="B68"/>
      <c r="C68"/>
      <c r="D68"/>
      <c r="E68"/>
      <c r="F68"/>
    </row>
    <row r="69" spans="1:14" x14ac:dyDescent="0.45">
      <c r="A69" s="98"/>
      <c r="B69"/>
      <c r="C69"/>
      <c r="D69"/>
      <c r="E69"/>
      <c r="F69"/>
    </row>
    <row r="70" spans="1:14" x14ac:dyDescent="0.45">
      <c r="A70" s="98"/>
      <c r="B70"/>
      <c r="C70"/>
      <c r="D70"/>
      <c r="E70"/>
      <c r="F70"/>
    </row>
    <row r="71" spans="1:14" x14ac:dyDescent="0.45">
      <c r="A71" s="98"/>
      <c r="B71"/>
      <c r="C71"/>
      <c r="D71"/>
      <c r="E71"/>
      <c r="F71"/>
    </row>
    <row r="72" spans="1:14" x14ac:dyDescent="0.45">
      <c r="A72" s="98"/>
      <c r="B72"/>
      <c r="C72"/>
      <c r="D72"/>
      <c r="E72"/>
      <c r="F72"/>
    </row>
    <row r="73" spans="1:14" x14ac:dyDescent="0.45">
      <c r="A73" s="98"/>
      <c r="B73"/>
      <c r="C73"/>
      <c r="D73"/>
      <c r="E73"/>
      <c r="F73"/>
    </row>
    <row r="74" spans="1:14" x14ac:dyDescent="0.45">
      <c r="A74" s="98"/>
      <c r="B74"/>
      <c r="C74"/>
      <c r="D74"/>
      <c r="E74"/>
      <c r="F74"/>
    </row>
    <row r="75" spans="1:14" x14ac:dyDescent="0.45">
      <c r="A75" s="98"/>
      <c r="B75"/>
      <c r="C75"/>
      <c r="D75"/>
      <c r="E75"/>
      <c r="F75"/>
    </row>
    <row r="76" spans="1:14" x14ac:dyDescent="0.45">
      <c r="A76" s="98"/>
      <c r="B76"/>
      <c r="C76"/>
      <c r="D76"/>
      <c r="E76"/>
      <c r="F76"/>
    </row>
    <row r="77" spans="1:14" x14ac:dyDescent="0.45">
      <c r="A77" s="98"/>
      <c r="B77"/>
      <c r="C77"/>
      <c r="D77"/>
      <c r="E77"/>
      <c r="F77"/>
    </row>
    <row r="78" spans="1:14" x14ac:dyDescent="0.45">
      <c r="A78" s="98"/>
      <c r="B78"/>
      <c r="C78"/>
      <c r="D78"/>
      <c r="E78"/>
      <c r="F78"/>
    </row>
    <row r="79" spans="1:14" x14ac:dyDescent="0.45">
      <c r="A79" s="98"/>
      <c r="B79"/>
      <c r="C79"/>
      <c r="D79"/>
      <c r="E79"/>
      <c r="F79"/>
    </row>
    <row r="80" spans="1:14" x14ac:dyDescent="0.45">
      <c r="A80" s="98"/>
      <c r="B80"/>
      <c r="C80"/>
      <c r="D80"/>
      <c r="E80"/>
      <c r="F80"/>
    </row>
    <row r="81" spans="1:6" x14ac:dyDescent="0.45">
      <c r="A81" s="98"/>
      <c r="B81"/>
      <c r="C81"/>
      <c r="D81"/>
      <c r="E81"/>
      <c r="F81"/>
    </row>
    <row r="82" spans="1:6" x14ac:dyDescent="0.45">
      <c r="A82" s="98"/>
      <c r="B82"/>
      <c r="C82"/>
      <c r="D82"/>
      <c r="E82"/>
      <c r="F82"/>
    </row>
    <row r="83" spans="1:6" x14ac:dyDescent="0.45">
      <c r="A83" s="98"/>
      <c r="B83"/>
      <c r="C83"/>
      <c r="D83"/>
      <c r="E83"/>
      <c r="F83"/>
    </row>
    <row r="84" spans="1:6" x14ac:dyDescent="0.45">
      <c r="A84" s="98"/>
      <c r="B84"/>
      <c r="C84"/>
      <c r="D84"/>
      <c r="E84"/>
      <c r="F84"/>
    </row>
    <row r="85" spans="1:6" x14ac:dyDescent="0.45">
      <c r="A85" s="98"/>
      <c r="B85"/>
      <c r="C85"/>
      <c r="D85"/>
      <c r="E85"/>
      <c r="F85"/>
    </row>
    <row r="86" spans="1:6" x14ac:dyDescent="0.45">
      <c r="A86" s="98"/>
      <c r="B86"/>
      <c r="C86"/>
      <c r="D86"/>
      <c r="E86"/>
      <c r="F86"/>
    </row>
    <row r="87" spans="1:6" x14ac:dyDescent="0.45">
      <c r="A87" s="98"/>
      <c r="B87"/>
      <c r="C87"/>
      <c r="D87"/>
      <c r="E87"/>
      <c r="F87"/>
    </row>
    <row r="88" spans="1:6" x14ac:dyDescent="0.45">
      <c r="A88" s="98"/>
      <c r="B88"/>
      <c r="C88"/>
      <c r="D88"/>
      <c r="E88"/>
      <c r="F88"/>
    </row>
    <row r="89" spans="1:6" x14ac:dyDescent="0.45">
      <c r="A89" s="98"/>
      <c r="B89"/>
      <c r="C89"/>
      <c r="D89"/>
      <c r="E89"/>
      <c r="F89"/>
    </row>
    <row r="90" spans="1:6" x14ac:dyDescent="0.45">
      <c r="A90" s="98"/>
      <c r="B90"/>
      <c r="C90"/>
      <c r="D90"/>
      <c r="E90"/>
      <c r="F90"/>
    </row>
    <row r="91" spans="1:6" x14ac:dyDescent="0.45">
      <c r="A91" s="98"/>
      <c r="B91"/>
      <c r="C91"/>
      <c r="D91"/>
      <c r="E91"/>
      <c r="F91"/>
    </row>
    <row r="92" spans="1:6" x14ac:dyDescent="0.45">
      <c r="A92" s="98"/>
      <c r="B92"/>
      <c r="C92"/>
      <c r="D92"/>
      <c r="E92"/>
      <c r="F92"/>
    </row>
    <row r="93" spans="1:6" x14ac:dyDescent="0.45">
      <c r="A93" s="98"/>
      <c r="B93"/>
      <c r="C93"/>
      <c r="D93"/>
      <c r="E93"/>
      <c r="F93"/>
    </row>
    <row r="94" spans="1:6" x14ac:dyDescent="0.45">
      <c r="A94" s="98"/>
      <c r="B94"/>
      <c r="C94"/>
      <c r="D94"/>
      <c r="E94"/>
      <c r="F94"/>
    </row>
    <row r="95" spans="1:6" x14ac:dyDescent="0.45">
      <c r="A95" s="98"/>
      <c r="B95"/>
      <c r="C95"/>
      <c r="D95"/>
      <c r="E95"/>
      <c r="F95"/>
    </row>
    <row r="96" spans="1:6" x14ac:dyDescent="0.45">
      <c r="A96" s="98"/>
      <c r="B96"/>
      <c r="C96"/>
      <c r="D96"/>
      <c r="E96"/>
      <c r="F96"/>
    </row>
    <row r="97" spans="1:6" x14ac:dyDescent="0.45">
      <c r="A97" s="98"/>
      <c r="B97"/>
      <c r="C97"/>
      <c r="D97"/>
      <c r="E97"/>
      <c r="F97"/>
    </row>
    <row r="98" spans="1:6" x14ac:dyDescent="0.45">
      <c r="A98" s="98"/>
      <c r="B98"/>
      <c r="C98"/>
      <c r="D98"/>
      <c r="E98"/>
      <c r="F98"/>
    </row>
    <row r="99" spans="1:6" x14ac:dyDescent="0.45">
      <c r="A99" s="98"/>
      <c r="B99"/>
      <c r="C99"/>
      <c r="D99"/>
      <c r="E99"/>
      <c r="F99"/>
    </row>
    <row r="100" spans="1:6" x14ac:dyDescent="0.45">
      <c r="A100" s="98"/>
      <c r="B100"/>
      <c r="C100"/>
      <c r="D100"/>
      <c r="E100"/>
      <c r="F100"/>
    </row>
    <row r="101" spans="1:6" x14ac:dyDescent="0.45">
      <c r="A101" s="98"/>
      <c r="B101"/>
      <c r="C101"/>
      <c r="D101"/>
      <c r="E101"/>
      <c r="F101"/>
    </row>
    <row r="102" spans="1:6" x14ac:dyDescent="0.45">
      <c r="A102" s="98"/>
      <c r="B102"/>
      <c r="C102"/>
      <c r="D102"/>
      <c r="E102"/>
      <c r="F102"/>
    </row>
    <row r="252" spans="8:8" x14ac:dyDescent="0.45">
      <c r="H252" s="6" t="e">
        <f t="shared" ref="H195:H252" si="23">(C252-D252)/D252</f>
        <v>#DIV/0!</v>
      </c>
    </row>
  </sheetData>
  <mergeCells count="4">
    <mergeCell ref="J1:O1"/>
    <mergeCell ref="Q1:V1"/>
    <mergeCell ref="J42:O42"/>
    <mergeCell ref="Q42:V4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A013-82B1-418E-843B-ABE4D204AADB}">
  <dimension ref="A1:S252"/>
  <sheetViews>
    <sheetView zoomScale="85" zoomScaleNormal="85" workbookViewId="0"/>
  </sheetViews>
  <sheetFormatPr defaultRowHeight="14.25" x14ac:dyDescent="0.45"/>
  <cols>
    <col min="1" max="1" width="10.73046875" style="47" bestFit="1" customWidth="1"/>
    <col min="2" max="5" width="10.73046875" style="5" customWidth="1"/>
    <col min="6" max="6" width="13.59765625" style="6" bestFit="1" customWidth="1"/>
    <col min="8" max="8" width="19.86328125" customWidth="1"/>
    <col min="9" max="9" width="17.265625" customWidth="1"/>
    <col min="10" max="11" width="19.1328125" customWidth="1"/>
    <col min="12" max="12" width="23.73046875" customWidth="1"/>
    <col min="13" max="13" width="22.3984375" bestFit="1" customWidth="1"/>
    <col min="15" max="15" width="22.265625" customWidth="1"/>
    <col min="16" max="16" width="12.1328125" customWidth="1"/>
  </cols>
  <sheetData>
    <row r="1" spans="1:19" ht="16.149999999999999" thickBot="1" x14ac:dyDescent="0.55000000000000004">
      <c r="A1" s="46" t="s">
        <v>0</v>
      </c>
      <c r="B1" s="86" t="s">
        <v>48</v>
      </c>
      <c r="C1" s="87" t="s">
        <v>49</v>
      </c>
      <c r="D1" s="86" t="str">
        <f>B1&amp;" %"</f>
        <v>ZNGA %</v>
      </c>
      <c r="E1" s="87" t="str">
        <f>C1&amp;" %"</f>
        <v>ALGN %</v>
      </c>
      <c r="F1" s="3" t="s">
        <v>50</v>
      </c>
      <c r="H1" s="89" t="s">
        <v>40</v>
      </c>
      <c r="I1" s="90"/>
      <c r="J1" s="90"/>
      <c r="K1" s="90"/>
      <c r="L1" s="90"/>
      <c r="M1" s="91"/>
    </row>
    <row r="2" spans="1:19" ht="14.65" thickBot="1" x14ac:dyDescent="0.5">
      <c r="A2" s="47">
        <v>44531</v>
      </c>
      <c r="B2" s="5">
        <v>6.57</v>
      </c>
      <c r="C2" s="5">
        <v>609.05999799999995</v>
      </c>
      <c r="D2" s="6">
        <f>B2/B3-1</f>
        <v>8.9552238805970186E-2</v>
      </c>
      <c r="E2" s="6">
        <f>C2/C3-1</f>
        <v>-4.0391000978956537E-3</v>
      </c>
      <c r="F2" s="6">
        <f>($P$4*D2)-($P$5*E2)</f>
        <v>4.679566945193292E-2</v>
      </c>
      <c r="H2" s="7"/>
      <c r="I2" s="8"/>
      <c r="J2" s="8"/>
      <c r="K2" s="8"/>
      <c r="L2" s="8"/>
      <c r="M2" s="9"/>
      <c r="N2" s="1"/>
      <c r="O2" s="81" t="s">
        <v>53</v>
      </c>
      <c r="P2" s="79">
        <v>17000</v>
      </c>
      <c r="R2">
        <v>3800</v>
      </c>
    </row>
    <row r="3" spans="1:19" ht="14.65" thickBot="1" x14ac:dyDescent="0.5">
      <c r="A3" s="47">
        <v>44501</v>
      </c>
      <c r="B3" s="5">
        <v>6.03</v>
      </c>
      <c r="C3" s="5">
        <v>611.53002900000001</v>
      </c>
      <c r="D3" s="6">
        <f t="shared" ref="D3:D66" si="0">B3/B4-1</f>
        <v>-0.18292682926829262</v>
      </c>
      <c r="E3" s="6">
        <f t="shared" ref="E3:E66" si="1">C3/C4-1</f>
        <v>-2.0564674956873974E-2</v>
      </c>
      <c r="F3" s="6">
        <f t="shared" ref="F3:F66" si="2">($P$4*D3)-($P$5*E3)</f>
        <v>-8.1181077155709325E-2</v>
      </c>
      <c r="H3" s="11" t="s">
        <v>6</v>
      </c>
      <c r="I3" s="12" t="s">
        <v>7</v>
      </c>
      <c r="J3" s="12" t="s">
        <v>8</v>
      </c>
      <c r="K3" s="13" t="s">
        <v>9</v>
      </c>
      <c r="L3" s="13" t="s">
        <v>23</v>
      </c>
      <c r="M3" s="14" t="s">
        <v>24</v>
      </c>
      <c r="O3" s="37" t="s">
        <v>54</v>
      </c>
      <c r="P3" s="80">
        <v>17000</v>
      </c>
      <c r="R3">
        <v>-200</v>
      </c>
    </row>
    <row r="4" spans="1:19" x14ac:dyDescent="0.45">
      <c r="A4" s="47">
        <v>44470</v>
      </c>
      <c r="B4" s="5">
        <v>7.38</v>
      </c>
      <c r="C4" s="5">
        <v>624.36999500000002</v>
      </c>
      <c r="D4" s="6">
        <f t="shared" si="0"/>
        <v>-1.9920318725099695E-2</v>
      </c>
      <c r="E4" s="6">
        <f t="shared" si="1"/>
        <v>-6.1704459420121038E-2</v>
      </c>
      <c r="F4" s="6">
        <f t="shared" si="2"/>
        <v>2.0892070347510672E-2</v>
      </c>
      <c r="H4" s="48">
        <f>$I$19-3*$I$23</f>
        <v>-0.23383728153177435</v>
      </c>
      <c r="I4" s="50">
        <f>H4</f>
        <v>-0.23383728153177435</v>
      </c>
      <c r="J4" s="15">
        <f>COUNTIF(F:F,"&lt;="&amp;H4)</f>
        <v>2</v>
      </c>
      <c r="K4" s="15" t="str">
        <f>"Less than "&amp;TEXT(H4,"0.00%")</f>
        <v>Less than -23.38%</v>
      </c>
      <c r="L4" s="16">
        <f t="shared" ref="L4:L15" si="3">J4/$I$31</f>
        <v>1.680672268907563E-2</v>
      </c>
      <c r="M4" s="17">
        <f>L4</f>
        <v>1.680672268907563E-2</v>
      </c>
      <c r="O4" s="82" t="s">
        <v>51</v>
      </c>
      <c r="P4" s="84">
        <f>P2/SUM(P2:P3)</f>
        <v>0.5</v>
      </c>
    </row>
    <row r="5" spans="1:19" ht="14.65" thickBot="1" x14ac:dyDescent="0.5">
      <c r="A5" s="47">
        <v>44440</v>
      </c>
      <c r="B5" s="5">
        <v>7.53</v>
      </c>
      <c r="C5" s="5">
        <v>665.42999299999997</v>
      </c>
      <c r="D5" s="6">
        <f t="shared" si="0"/>
        <v>-0.14915254237288134</v>
      </c>
      <c r="E5" s="6">
        <f t="shared" si="1"/>
        <v>-6.1452760225670033E-2</v>
      </c>
      <c r="F5" s="6">
        <f t="shared" si="2"/>
        <v>-4.3849891073605651E-2</v>
      </c>
      <c r="H5" s="49">
        <f>$I$19-2.4*$I$23</f>
        <v>-0.19010187910180582</v>
      </c>
      <c r="I5" s="51">
        <f>H5</f>
        <v>-0.19010187910180582</v>
      </c>
      <c r="J5" s="19">
        <f t="shared" ref="J5:J14" si="4">COUNTIFS(F:F,"&lt;="&amp;H5,F:F,"&gt;"&amp;H4)</f>
        <v>0</v>
      </c>
      <c r="K5" s="45" t="str">
        <f t="shared" ref="K5:K14" si="5">TEXT(H4,"0.00%")&amp;" to "&amp;TEXT(H5,"0.00%")</f>
        <v>-23.38% to -19.01%</v>
      </c>
      <c r="L5" s="20">
        <f t="shared" si="3"/>
        <v>0</v>
      </c>
      <c r="M5" s="21">
        <f>M4+L5</f>
        <v>1.680672268907563E-2</v>
      </c>
      <c r="O5" s="83" t="s">
        <v>52</v>
      </c>
      <c r="P5" s="85">
        <f>P3/SUM(P2:P3)</f>
        <v>0.5</v>
      </c>
    </row>
    <row r="6" spans="1:19" ht="14.65" thickBot="1" x14ac:dyDescent="0.5">
      <c r="A6" s="47">
        <v>44409</v>
      </c>
      <c r="B6" s="5">
        <v>8.85</v>
      </c>
      <c r="C6" s="5">
        <v>709</v>
      </c>
      <c r="D6" s="6">
        <f t="shared" si="0"/>
        <v>-0.12376237623762376</v>
      </c>
      <c r="E6" s="6">
        <f t="shared" si="1"/>
        <v>1.8970986242673016E-2</v>
      </c>
      <c r="F6" s="6">
        <f t="shared" si="2"/>
        <v>-7.1366681240148389E-2</v>
      </c>
      <c r="H6" s="49">
        <f>$I$19-1.8*$I$23</f>
        <v>-0.14636647667183728</v>
      </c>
      <c r="I6" s="51">
        <f t="shared" ref="I6:I14" si="6">H6</f>
        <v>-0.14636647667183728</v>
      </c>
      <c r="J6" s="19">
        <f t="shared" si="4"/>
        <v>2</v>
      </c>
      <c r="K6" s="45" t="str">
        <f t="shared" si="5"/>
        <v>-19.01% to -14.64%</v>
      </c>
      <c r="L6" s="20">
        <f t="shared" si="3"/>
        <v>1.680672268907563E-2</v>
      </c>
      <c r="M6" s="21">
        <f t="shared" ref="M6:M15" si="7">M5+L6</f>
        <v>3.3613445378151259E-2</v>
      </c>
    </row>
    <row r="7" spans="1:19" x14ac:dyDescent="0.45">
      <c r="A7" s="47">
        <v>44378</v>
      </c>
      <c r="B7" s="5">
        <v>10.1</v>
      </c>
      <c r="C7" s="5">
        <v>695.79998799999998</v>
      </c>
      <c r="D7" s="6">
        <f t="shared" si="0"/>
        <v>-4.9858889934148776E-2</v>
      </c>
      <c r="E7" s="6">
        <f t="shared" si="1"/>
        <v>0.13878885106382977</v>
      </c>
      <c r="F7" s="6">
        <f t="shared" si="2"/>
        <v>-9.4323870498989271E-2</v>
      </c>
      <c r="H7" s="49">
        <f>$I$19-1.2*$I$23</f>
        <v>-0.10263107424186874</v>
      </c>
      <c r="I7" s="51">
        <f t="shared" si="6"/>
        <v>-0.10263107424186874</v>
      </c>
      <c r="J7" s="19">
        <f t="shared" si="4"/>
        <v>8</v>
      </c>
      <c r="K7" s="45" t="str">
        <f t="shared" si="5"/>
        <v>-14.64% to -10.26%</v>
      </c>
      <c r="L7" s="20">
        <f t="shared" si="3"/>
        <v>6.7226890756302518E-2</v>
      </c>
      <c r="M7" s="21">
        <f t="shared" si="7"/>
        <v>0.10084033613445378</v>
      </c>
      <c r="O7" s="70" t="s">
        <v>44</v>
      </c>
      <c r="P7" s="76">
        <v>0.1</v>
      </c>
    </row>
    <row r="8" spans="1:19" ht="14.65" thickBot="1" x14ac:dyDescent="0.5">
      <c r="A8" s="47">
        <v>44348</v>
      </c>
      <c r="B8" s="5">
        <v>10.63</v>
      </c>
      <c r="C8" s="5">
        <v>611</v>
      </c>
      <c r="D8" s="6">
        <f t="shared" si="0"/>
        <v>-1.9372693726937174E-2</v>
      </c>
      <c r="E8" s="6">
        <f t="shared" si="1"/>
        <v>3.5329958742829737E-2</v>
      </c>
      <c r="F8" s="6">
        <f t="shared" si="2"/>
        <v>-2.7351326234883455E-2</v>
      </c>
      <c r="H8" s="49">
        <f>$I$19-0.6*$I$23</f>
        <v>-5.889567181190019E-2</v>
      </c>
      <c r="I8" s="51">
        <f t="shared" si="6"/>
        <v>-5.889567181190019E-2</v>
      </c>
      <c r="J8" s="19">
        <f t="shared" si="4"/>
        <v>13</v>
      </c>
      <c r="K8" s="45" t="str">
        <f t="shared" si="5"/>
        <v>-10.26% to -5.89%</v>
      </c>
      <c r="L8" s="20">
        <f t="shared" si="3"/>
        <v>0.1092436974789916</v>
      </c>
      <c r="M8" s="21">
        <f t="shared" si="7"/>
        <v>0.21008403361344538</v>
      </c>
      <c r="O8" s="72" t="s">
        <v>45</v>
      </c>
      <c r="P8" s="77">
        <v>0.18</v>
      </c>
    </row>
    <row r="9" spans="1:19" ht="14.65" thickBot="1" x14ac:dyDescent="0.5">
      <c r="A9" s="47">
        <v>44317</v>
      </c>
      <c r="B9" s="5">
        <v>10.84</v>
      </c>
      <c r="C9" s="5">
        <v>590.15002400000003</v>
      </c>
      <c r="D9" s="6">
        <f t="shared" si="0"/>
        <v>1.848428835489857E-3</v>
      </c>
      <c r="E9" s="6">
        <f t="shared" si="1"/>
        <v>-9.0339776972018226E-3</v>
      </c>
      <c r="F9" s="6">
        <f t="shared" si="2"/>
        <v>5.4412032663458398E-3</v>
      </c>
      <c r="H9" s="49">
        <f>$I$19</f>
        <v>-1.5160269381931641E-2</v>
      </c>
      <c r="I9" s="51">
        <f t="shared" si="6"/>
        <v>-1.5160269381931641E-2</v>
      </c>
      <c r="J9" s="19">
        <f t="shared" si="4"/>
        <v>43</v>
      </c>
      <c r="K9" s="45" t="str">
        <f t="shared" si="5"/>
        <v>-5.89% to -1.52%</v>
      </c>
      <c r="L9" s="20">
        <f t="shared" si="3"/>
        <v>0.36134453781512604</v>
      </c>
      <c r="M9" s="21">
        <f t="shared" si="7"/>
        <v>0.5714285714285714</v>
      </c>
      <c r="O9" s="42"/>
    </row>
    <row r="10" spans="1:19" x14ac:dyDescent="0.45">
      <c r="A10" s="47">
        <v>44287</v>
      </c>
      <c r="B10" s="5">
        <v>10.82</v>
      </c>
      <c r="C10" s="5">
        <v>595.53002900000001</v>
      </c>
      <c r="D10" s="6">
        <f t="shared" si="0"/>
        <v>5.974534769833495E-2</v>
      </c>
      <c r="E10" s="6">
        <f t="shared" si="1"/>
        <v>9.9717461836266841E-2</v>
      </c>
      <c r="F10" s="6">
        <f t="shared" si="2"/>
        <v>-1.9986057068965946E-2</v>
      </c>
      <c r="H10" s="49">
        <f>$I$19+0.6*$I$23</f>
        <v>2.8575133048036903E-2</v>
      </c>
      <c r="I10" s="51">
        <f t="shared" si="6"/>
        <v>2.8575133048036903E-2</v>
      </c>
      <c r="J10" s="19">
        <f t="shared" si="4"/>
        <v>25</v>
      </c>
      <c r="K10" s="45" t="str">
        <f t="shared" si="5"/>
        <v>-1.52% to 2.86%</v>
      </c>
      <c r="L10" s="20">
        <f t="shared" si="3"/>
        <v>0.21008403361344538</v>
      </c>
      <c r="M10" s="21">
        <f t="shared" si="7"/>
        <v>0.78151260504201681</v>
      </c>
      <c r="O10" s="70" t="s">
        <v>55</v>
      </c>
      <c r="P10" s="73">
        <f>-P7*SUM(P2:P3)</f>
        <v>-3400</v>
      </c>
      <c r="R10">
        <v>3600</v>
      </c>
      <c r="S10" s="88">
        <f>R10+P10</f>
        <v>200</v>
      </c>
    </row>
    <row r="11" spans="1:19" ht="14.65" thickBot="1" x14ac:dyDescent="0.5">
      <c r="A11" s="47">
        <v>44256</v>
      </c>
      <c r="B11" s="5">
        <v>10.210000000000001</v>
      </c>
      <c r="C11" s="5">
        <v>541.53002900000001</v>
      </c>
      <c r="D11" s="6">
        <f t="shared" si="0"/>
        <v>-8.4304932735425941E-2</v>
      </c>
      <c r="E11" s="6">
        <f t="shared" si="1"/>
        <v>-4.5105811353330361E-2</v>
      </c>
      <c r="F11" s="6">
        <f t="shared" si="2"/>
        <v>-1.959956069104779E-2</v>
      </c>
      <c r="H11" s="49">
        <f>$I$19+1.2*$I$23</f>
        <v>7.231053547800545E-2</v>
      </c>
      <c r="I11" s="51">
        <f t="shared" si="6"/>
        <v>7.231053547800545E-2</v>
      </c>
      <c r="J11" s="19">
        <f t="shared" si="4"/>
        <v>13</v>
      </c>
      <c r="K11" s="45" t="str">
        <f t="shared" si="5"/>
        <v>2.86% to 7.23%</v>
      </c>
      <c r="L11" s="20">
        <f t="shared" si="3"/>
        <v>0.1092436974789916</v>
      </c>
      <c r="M11" s="21">
        <f t="shared" si="7"/>
        <v>0.89075630252100835</v>
      </c>
      <c r="O11" s="72" t="s">
        <v>56</v>
      </c>
      <c r="P11" s="75">
        <f>P8*SUM(P2:P3)</f>
        <v>6120</v>
      </c>
    </row>
    <row r="12" spans="1:19" x14ac:dyDescent="0.45">
      <c r="A12" s="47">
        <v>44228</v>
      </c>
      <c r="B12" s="5">
        <v>11.15</v>
      </c>
      <c r="C12" s="5">
        <v>567.10998500000005</v>
      </c>
      <c r="D12" s="6">
        <f t="shared" si="0"/>
        <v>0.12512613521695259</v>
      </c>
      <c r="E12" s="6">
        <f t="shared" si="1"/>
        <v>7.9428184557575721E-2</v>
      </c>
      <c r="F12" s="6">
        <f t="shared" si="2"/>
        <v>2.2848975329688437E-2</v>
      </c>
      <c r="H12" s="49">
        <f>$I$19+1.8*$I$23</f>
        <v>0.116045937907974</v>
      </c>
      <c r="I12" s="51">
        <f t="shared" si="6"/>
        <v>0.116045937907974</v>
      </c>
      <c r="J12" s="19">
        <f t="shared" si="4"/>
        <v>5</v>
      </c>
      <c r="K12" s="45" t="str">
        <f t="shared" si="5"/>
        <v>7.23% to 11.60%</v>
      </c>
      <c r="L12" s="20">
        <f t="shared" si="3"/>
        <v>4.2016806722689079E-2</v>
      </c>
      <c r="M12" s="21">
        <f t="shared" si="7"/>
        <v>0.93277310924369738</v>
      </c>
    </row>
    <row r="13" spans="1:19" x14ac:dyDescent="0.45">
      <c r="A13" s="47">
        <v>44197</v>
      </c>
      <c r="B13" s="5">
        <v>9.91</v>
      </c>
      <c r="C13" s="5">
        <v>525.38000499999998</v>
      </c>
      <c r="D13" s="6">
        <f t="shared" si="0"/>
        <v>4.0526849037487711E-3</v>
      </c>
      <c r="E13" s="6">
        <f t="shared" si="1"/>
        <v>-1.6841947520098599E-2</v>
      </c>
      <c r="F13" s="6">
        <f t="shared" si="2"/>
        <v>1.0447316211923685E-2</v>
      </c>
      <c r="H13" s="49">
        <f>$I$19+2.4*$I$23</f>
        <v>0.15978134033794256</v>
      </c>
      <c r="I13" s="51">
        <f t="shared" si="6"/>
        <v>0.15978134033794256</v>
      </c>
      <c r="J13" s="19">
        <f t="shared" si="4"/>
        <v>7</v>
      </c>
      <c r="K13" s="45" t="str">
        <f t="shared" si="5"/>
        <v>11.60% to 15.98%</v>
      </c>
      <c r="L13" s="20">
        <f t="shared" si="3"/>
        <v>5.8823529411764705E-2</v>
      </c>
      <c r="M13" s="21">
        <f t="shared" si="7"/>
        <v>0.9915966386554621</v>
      </c>
    </row>
    <row r="14" spans="1:19" x14ac:dyDescent="0.45">
      <c r="A14" s="47">
        <v>44166</v>
      </c>
      <c r="B14" s="5">
        <v>9.8699999999999992</v>
      </c>
      <c r="C14" s="5">
        <v>534.38000499999998</v>
      </c>
      <c r="D14" s="6">
        <f t="shared" si="0"/>
        <v>0.1963636363636363</v>
      </c>
      <c r="E14" s="6">
        <f t="shared" si="1"/>
        <v>0.11030770430973136</v>
      </c>
      <c r="F14" s="6">
        <f t="shared" si="2"/>
        <v>4.3027966026952469E-2</v>
      </c>
      <c r="H14" s="49">
        <f>$I$19+3*$I$23</f>
        <v>0.2035167427679111</v>
      </c>
      <c r="I14" s="51">
        <f t="shared" si="6"/>
        <v>0.2035167427679111</v>
      </c>
      <c r="J14" s="19">
        <f t="shared" si="4"/>
        <v>1</v>
      </c>
      <c r="K14" s="45" t="str">
        <f t="shared" si="5"/>
        <v>15.98% to 20.35%</v>
      </c>
      <c r="L14" s="20">
        <f t="shared" si="3"/>
        <v>8.4033613445378148E-3</v>
      </c>
      <c r="M14" s="21">
        <f t="shared" si="7"/>
        <v>0.99999999999999989</v>
      </c>
    </row>
    <row r="15" spans="1:19" ht="14.65" thickBot="1" x14ac:dyDescent="0.5">
      <c r="A15" s="47">
        <v>44136</v>
      </c>
      <c r="B15" s="5">
        <v>8.25</v>
      </c>
      <c r="C15" s="5">
        <v>481.290009</v>
      </c>
      <c r="D15" s="6">
        <f t="shared" si="0"/>
        <v>-8.2313681868743105E-2</v>
      </c>
      <c r="E15" s="6">
        <f t="shared" si="1"/>
        <v>0.12957666091930298</v>
      </c>
      <c r="F15" s="6">
        <f t="shared" si="2"/>
        <v>-0.10594517139402304</v>
      </c>
      <c r="H15" s="22"/>
      <c r="I15" s="23" t="s">
        <v>10</v>
      </c>
      <c r="J15" s="23">
        <f>COUNTIF(F:F,"&gt;"&amp;H14)</f>
        <v>0</v>
      </c>
      <c r="K15" s="23" t="str">
        <f>"Greater than "&amp;TEXT(H14,"0.00%")</f>
        <v>Greater than 20.35%</v>
      </c>
      <c r="L15" s="24">
        <f t="shared" si="3"/>
        <v>0</v>
      </c>
      <c r="M15" s="25">
        <f t="shared" si="7"/>
        <v>0.99999999999999989</v>
      </c>
    </row>
    <row r="16" spans="1:19" ht="14.65" thickBot="1" x14ac:dyDescent="0.5">
      <c r="A16" s="47">
        <v>44105</v>
      </c>
      <c r="B16" s="5">
        <v>8.99</v>
      </c>
      <c r="C16" s="5">
        <v>426.07998700000002</v>
      </c>
      <c r="D16" s="6">
        <f t="shared" si="0"/>
        <v>-1.4254385964912131E-2</v>
      </c>
      <c r="E16" s="6">
        <f t="shared" si="1"/>
        <v>0.30156404729796171</v>
      </c>
      <c r="F16" s="6">
        <f t="shared" si="2"/>
        <v>-0.15790921663143692</v>
      </c>
      <c r="H16" s="26"/>
      <c r="I16" s="27"/>
      <c r="J16" s="27"/>
      <c r="K16" s="27"/>
      <c r="L16" s="27"/>
      <c r="M16" s="28"/>
    </row>
    <row r="17" spans="1:13" x14ac:dyDescent="0.45">
      <c r="A17" s="47">
        <v>44075</v>
      </c>
      <c r="B17" s="5">
        <v>9.1199999999999992</v>
      </c>
      <c r="C17" s="5">
        <v>327.35998499999999</v>
      </c>
      <c r="D17" s="6">
        <f t="shared" si="0"/>
        <v>6.6225165562912025E-3</v>
      </c>
      <c r="E17" s="6">
        <f t="shared" si="1"/>
        <v>0.10229635960246508</v>
      </c>
      <c r="F17" s="6">
        <f t="shared" si="2"/>
        <v>-4.7836921523086939E-2</v>
      </c>
      <c r="H17" s="29" t="s">
        <v>37</v>
      </c>
      <c r="I17" s="30"/>
      <c r="J17" s="27"/>
      <c r="K17" s="27"/>
      <c r="L17" s="27"/>
      <c r="M17" s="28"/>
    </row>
    <row r="18" spans="1:13" x14ac:dyDescent="0.45">
      <c r="A18" s="47">
        <v>44044</v>
      </c>
      <c r="B18" s="5">
        <v>9.06</v>
      </c>
      <c r="C18" s="5">
        <v>296.98001099999999</v>
      </c>
      <c r="D18" s="6">
        <f t="shared" si="0"/>
        <v>-7.8331637843336632E-2</v>
      </c>
      <c r="E18" s="6">
        <f t="shared" si="1"/>
        <v>1.0754897300101263E-2</v>
      </c>
      <c r="F18" s="6">
        <f t="shared" si="2"/>
        <v>-4.4543267571718947E-2</v>
      </c>
      <c r="H18" s="26"/>
      <c r="I18" s="27"/>
      <c r="J18" s="27"/>
      <c r="K18" s="27"/>
      <c r="L18" s="27"/>
      <c r="M18" s="28"/>
    </row>
    <row r="19" spans="1:13" x14ac:dyDescent="0.45">
      <c r="A19" s="47">
        <v>44013</v>
      </c>
      <c r="B19" s="5">
        <v>9.83</v>
      </c>
      <c r="C19" s="5">
        <v>293.82000699999998</v>
      </c>
      <c r="D19" s="6">
        <f t="shared" si="0"/>
        <v>3.039832285115307E-2</v>
      </c>
      <c r="E19" s="6">
        <f t="shared" si="1"/>
        <v>7.0616545907181472E-2</v>
      </c>
      <c r="F19" s="6">
        <f t="shared" si="2"/>
        <v>-2.0109111528014201E-2</v>
      </c>
      <c r="H19" s="26" t="s">
        <v>11</v>
      </c>
      <c r="I19" s="31">
        <f>AVERAGE(F:F)</f>
        <v>-1.5160269381931641E-2</v>
      </c>
      <c r="J19" s="27"/>
      <c r="K19" s="27"/>
      <c r="L19" s="27"/>
      <c r="M19" s="28"/>
    </row>
    <row r="20" spans="1:13" x14ac:dyDescent="0.45">
      <c r="A20" s="47">
        <v>43983</v>
      </c>
      <c r="B20" s="5">
        <v>9.5399999999999991</v>
      </c>
      <c r="C20" s="5">
        <v>274.44000199999999</v>
      </c>
      <c r="D20" s="6">
        <f t="shared" si="0"/>
        <v>4.2622950819672045E-2</v>
      </c>
      <c r="E20" s="6">
        <f t="shared" si="1"/>
        <v>0.11733575273462571</v>
      </c>
      <c r="F20" s="6">
        <f t="shared" si="2"/>
        <v>-3.7356400957476832E-2</v>
      </c>
      <c r="H20" s="26" t="s">
        <v>12</v>
      </c>
      <c r="I20" s="31">
        <f>_xlfn.STDEV.S(F:F)/SQRT(COUNT(F:F))</f>
        <v>6.6820296124126917E-3</v>
      </c>
      <c r="J20" s="32"/>
      <c r="K20" s="27"/>
      <c r="L20" s="27"/>
      <c r="M20" s="28"/>
    </row>
    <row r="21" spans="1:13" x14ac:dyDescent="0.45">
      <c r="A21" s="47">
        <v>43952</v>
      </c>
      <c r="B21" s="5">
        <v>9.15</v>
      </c>
      <c r="C21" s="5">
        <v>245.61999499999999</v>
      </c>
      <c r="D21" s="6">
        <f t="shared" si="0"/>
        <v>0.21352785145888609</v>
      </c>
      <c r="E21" s="6">
        <f t="shared" si="1"/>
        <v>0.14321614214895573</v>
      </c>
      <c r="F21" s="6">
        <f t="shared" si="2"/>
        <v>3.515585465496518E-2</v>
      </c>
      <c r="H21" s="26" t="s">
        <v>13</v>
      </c>
      <c r="I21" s="31">
        <f>MEDIAN(F:F)</f>
        <v>-2.2390114677309669E-2</v>
      </c>
      <c r="J21" s="27"/>
      <c r="K21" s="27"/>
      <c r="L21" s="27"/>
      <c r="M21" s="28"/>
    </row>
    <row r="22" spans="1:13" x14ac:dyDescent="0.45">
      <c r="A22" s="47">
        <v>43922</v>
      </c>
      <c r="B22" s="5">
        <v>7.54</v>
      </c>
      <c r="C22" s="5">
        <v>214.85000600000001</v>
      </c>
      <c r="D22" s="6">
        <f t="shared" si="0"/>
        <v>0.10072992700729944</v>
      </c>
      <c r="E22" s="6">
        <f t="shared" si="1"/>
        <v>0.23512509172391649</v>
      </c>
      <c r="F22" s="6">
        <f t="shared" si="2"/>
        <v>-6.7197582358308527E-2</v>
      </c>
      <c r="H22" s="26" t="s">
        <v>14</v>
      </c>
      <c r="I22" s="31" t="e">
        <f>MODE(F:F)</f>
        <v>#N/A</v>
      </c>
      <c r="J22" s="27"/>
      <c r="K22" s="27"/>
      <c r="L22" s="27"/>
      <c r="M22" s="28"/>
    </row>
    <row r="23" spans="1:13" x14ac:dyDescent="0.45">
      <c r="A23" s="47">
        <v>43891</v>
      </c>
      <c r="B23" s="5">
        <v>6.85</v>
      </c>
      <c r="C23" s="5">
        <v>173.949997</v>
      </c>
      <c r="D23" s="6">
        <f t="shared" si="0"/>
        <v>2.0864381520119268E-2</v>
      </c>
      <c r="E23" s="6">
        <f t="shared" si="1"/>
        <v>-0.20334329187057598</v>
      </c>
      <c r="F23" s="6">
        <f t="shared" si="2"/>
        <v>0.11210383669534763</v>
      </c>
      <c r="H23" s="26" t="s">
        <v>15</v>
      </c>
      <c r="I23" s="31">
        <f>_xlfn.STDEV.S(F:F)</f>
        <v>7.2892337383280909E-2</v>
      </c>
      <c r="J23" s="27"/>
      <c r="K23" s="27"/>
      <c r="L23" s="27"/>
      <c r="M23" s="28"/>
    </row>
    <row r="24" spans="1:13" x14ac:dyDescent="0.45">
      <c r="A24" s="47">
        <v>43862</v>
      </c>
      <c r="B24" s="5">
        <v>6.71</v>
      </c>
      <c r="C24" s="5">
        <v>218.35000600000001</v>
      </c>
      <c r="D24" s="6">
        <f t="shared" si="0"/>
        <v>0.11461794019933569</v>
      </c>
      <c r="E24" s="6">
        <f t="shared" si="1"/>
        <v>-0.15071956085446381</v>
      </c>
      <c r="F24" s="6">
        <f t="shared" si="2"/>
        <v>0.13266875052689975</v>
      </c>
      <c r="H24" s="26" t="s">
        <v>16</v>
      </c>
      <c r="I24" s="31">
        <f>_xlfn.VAR.S(F:F)</f>
        <v>5.313292849198052E-3</v>
      </c>
      <c r="J24" s="27"/>
      <c r="K24" s="27"/>
      <c r="L24" s="27"/>
      <c r="M24" s="28"/>
    </row>
    <row r="25" spans="1:13" x14ac:dyDescent="0.45">
      <c r="A25" s="47">
        <v>43831</v>
      </c>
      <c r="B25" s="5">
        <v>6.02</v>
      </c>
      <c r="C25" s="5">
        <v>257.10000600000001</v>
      </c>
      <c r="D25" s="6">
        <f t="shared" si="0"/>
        <v>-1.6339869281045805E-2</v>
      </c>
      <c r="E25" s="6">
        <f t="shared" si="1"/>
        <v>-7.8626728398650481E-2</v>
      </c>
      <c r="F25" s="6">
        <f t="shared" si="2"/>
        <v>3.1143429558802338E-2</v>
      </c>
      <c r="H25" s="26" t="s">
        <v>17</v>
      </c>
      <c r="I25" s="33">
        <f>KURT(F:F)</f>
        <v>1.2341627753160211</v>
      </c>
      <c r="J25" s="27"/>
      <c r="K25" s="27"/>
      <c r="L25" s="27"/>
      <c r="M25" s="28"/>
    </row>
    <row r="26" spans="1:13" x14ac:dyDescent="0.45">
      <c r="A26" s="47">
        <v>43800</v>
      </c>
      <c r="B26" s="5">
        <v>6.12</v>
      </c>
      <c r="C26" s="5">
        <v>279.040009</v>
      </c>
      <c r="D26" s="6">
        <f t="shared" si="0"/>
        <v>-1.7656500802568309E-2</v>
      </c>
      <c r="E26" s="6">
        <f t="shared" si="1"/>
        <v>6.1297073069837005E-3</v>
      </c>
      <c r="F26" s="6">
        <f t="shared" si="2"/>
        <v>-1.1893104054776005E-2</v>
      </c>
      <c r="H26" s="26" t="s">
        <v>18</v>
      </c>
      <c r="I26" s="33">
        <f>SKEW(F:F)</f>
        <v>-0.10166564002765108</v>
      </c>
      <c r="J26" s="27"/>
      <c r="K26" s="27"/>
      <c r="L26" s="27"/>
      <c r="M26" s="28"/>
    </row>
    <row r="27" spans="1:13" x14ac:dyDescent="0.45">
      <c r="A27" s="47">
        <v>43770</v>
      </c>
      <c r="B27" s="5">
        <v>6.23</v>
      </c>
      <c r="C27" s="5">
        <v>277.33999599999999</v>
      </c>
      <c r="D27" s="6">
        <f t="shared" si="0"/>
        <v>9.7244732576986515E-3</v>
      </c>
      <c r="E27" s="6">
        <f t="shared" si="1"/>
        <v>9.9290513674872516E-2</v>
      </c>
      <c r="F27" s="6">
        <f t="shared" si="2"/>
        <v>-4.4783020208586932E-2</v>
      </c>
      <c r="H27" s="26" t="s">
        <v>9</v>
      </c>
      <c r="I27" s="31">
        <f>I29-I28</f>
        <v>0.4295487871944958</v>
      </c>
      <c r="J27" s="27"/>
      <c r="K27" s="27"/>
      <c r="L27" s="27"/>
      <c r="M27" s="28"/>
    </row>
    <row r="28" spans="1:13" x14ac:dyDescent="0.45">
      <c r="A28" s="47">
        <v>43739</v>
      </c>
      <c r="B28" s="5">
        <v>6.17</v>
      </c>
      <c r="C28" s="5">
        <v>252.28999300000001</v>
      </c>
      <c r="D28" s="6">
        <f t="shared" si="0"/>
        <v>6.0137457044673548E-2</v>
      </c>
      <c r="E28" s="6">
        <f t="shared" si="1"/>
        <v>0.39448372644797414</v>
      </c>
      <c r="F28" s="6">
        <f t="shared" si="2"/>
        <v>-0.16717313470165029</v>
      </c>
      <c r="H28" s="26" t="s">
        <v>19</v>
      </c>
      <c r="I28" s="31">
        <f>MIN(F:F)</f>
        <v>-0.25838882913972688</v>
      </c>
      <c r="J28" s="27"/>
      <c r="K28" s="27"/>
      <c r="L28" s="27"/>
      <c r="M28" s="28"/>
    </row>
    <row r="29" spans="1:13" x14ac:dyDescent="0.45">
      <c r="A29" s="47">
        <v>43709</v>
      </c>
      <c r="B29" s="5">
        <v>5.82</v>
      </c>
      <c r="C29" s="5">
        <v>180.91999799999999</v>
      </c>
      <c r="D29" s="6">
        <f t="shared" si="0"/>
        <v>1.9264448336252293E-2</v>
      </c>
      <c r="E29" s="6">
        <f t="shared" si="1"/>
        <v>-1.1960040347550494E-2</v>
      </c>
      <c r="F29" s="6">
        <f t="shared" si="2"/>
        <v>1.5612244341901393E-2</v>
      </c>
      <c r="H29" s="26" t="s">
        <v>20</v>
      </c>
      <c r="I29" s="31">
        <f>MAX(F:F)</f>
        <v>0.17115995805476891</v>
      </c>
      <c r="J29" s="27"/>
      <c r="K29" s="27"/>
      <c r="L29" s="27"/>
      <c r="M29" s="28"/>
    </row>
    <row r="30" spans="1:13" x14ac:dyDescent="0.45">
      <c r="A30" s="47">
        <v>43678</v>
      </c>
      <c r="B30" s="5">
        <v>5.71</v>
      </c>
      <c r="C30" s="5">
        <v>183.11000100000001</v>
      </c>
      <c r="D30" s="6">
        <f t="shared" si="0"/>
        <v>-0.10501567398119116</v>
      </c>
      <c r="E30" s="6">
        <f t="shared" si="1"/>
        <v>-0.12421083198573912</v>
      </c>
      <c r="F30" s="6">
        <f t="shared" si="2"/>
        <v>9.5975790022739815E-3</v>
      </c>
      <c r="H30" s="26" t="s">
        <v>21</v>
      </c>
      <c r="I30" s="33">
        <f>SUM(F:F)</f>
        <v>-1.8040720564498653</v>
      </c>
      <c r="J30" s="27"/>
      <c r="K30" s="27"/>
      <c r="L30" s="27"/>
      <c r="M30" s="28"/>
    </row>
    <row r="31" spans="1:13" ht="14.65" thickBot="1" x14ac:dyDescent="0.5">
      <c r="A31" s="47">
        <v>43647</v>
      </c>
      <c r="B31" s="5">
        <v>6.38</v>
      </c>
      <c r="C31" s="5">
        <v>209.08000200000001</v>
      </c>
      <c r="D31" s="6">
        <f t="shared" si="0"/>
        <v>4.0783034257748874E-2</v>
      </c>
      <c r="E31" s="6">
        <f t="shared" si="1"/>
        <v>-0.23609794361280478</v>
      </c>
      <c r="F31" s="6">
        <f t="shared" si="2"/>
        <v>0.13844048893527683</v>
      </c>
      <c r="H31" s="7" t="s">
        <v>22</v>
      </c>
      <c r="I31" s="8">
        <f>COUNT(F:F)</f>
        <v>119</v>
      </c>
      <c r="J31" s="27"/>
      <c r="K31" s="27"/>
      <c r="L31" s="27"/>
      <c r="M31" s="28"/>
    </row>
    <row r="32" spans="1:13" ht="14.65" thickBot="1" x14ac:dyDescent="0.5">
      <c r="A32" s="47">
        <v>43617</v>
      </c>
      <c r="B32" s="5">
        <v>6.13</v>
      </c>
      <c r="C32" s="5">
        <v>273.70001200000002</v>
      </c>
      <c r="D32" s="6">
        <f t="shared" si="0"/>
        <v>-2.5437201907790197E-2</v>
      </c>
      <c r="E32" s="6">
        <f t="shared" si="1"/>
        <v>-3.7453820204948363E-2</v>
      </c>
      <c r="F32" s="6">
        <f t="shared" si="2"/>
        <v>6.0083091485790829E-3</v>
      </c>
      <c r="H32" s="26"/>
      <c r="I32" s="27"/>
      <c r="J32" s="27"/>
      <c r="K32" s="27"/>
      <c r="L32" s="27"/>
      <c r="M32" s="28"/>
    </row>
    <row r="33" spans="1:13" x14ac:dyDescent="0.45">
      <c r="A33" s="47">
        <v>43586</v>
      </c>
      <c r="B33" s="5">
        <v>6.29</v>
      </c>
      <c r="C33" s="5">
        <v>284.35000600000001</v>
      </c>
      <c r="D33" s="6">
        <f t="shared" si="0"/>
        <v>0.11130742049469955</v>
      </c>
      <c r="E33" s="6">
        <f t="shared" si="1"/>
        <v>-0.12421457394820146</v>
      </c>
      <c r="F33" s="6">
        <f t="shared" si="2"/>
        <v>0.1177609972214505</v>
      </c>
      <c r="H33" s="34"/>
      <c r="I33" s="35" t="s">
        <v>29</v>
      </c>
      <c r="J33" s="35" t="s">
        <v>22</v>
      </c>
      <c r="K33" s="35" t="s">
        <v>28</v>
      </c>
      <c r="L33" s="36" t="s">
        <v>30</v>
      </c>
      <c r="M33" s="28"/>
    </row>
    <row r="34" spans="1:13" x14ac:dyDescent="0.45">
      <c r="A34" s="47">
        <v>43556</v>
      </c>
      <c r="B34" s="5">
        <v>5.66</v>
      </c>
      <c r="C34" s="5">
        <v>324.67999300000002</v>
      </c>
      <c r="D34" s="6">
        <f t="shared" si="0"/>
        <v>6.1913696060037493E-2</v>
      </c>
      <c r="E34" s="6">
        <f t="shared" si="1"/>
        <v>0.14191259397483114</v>
      </c>
      <c r="F34" s="6">
        <f t="shared" si="2"/>
        <v>-3.9999448957396821E-2</v>
      </c>
      <c r="H34" s="37" t="s">
        <v>26</v>
      </c>
      <c r="I34" s="20">
        <f>AVERAGEIF(F:F,"&gt;0")</f>
        <v>5.5891256634347235E-2</v>
      </c>
      <c r="J34" s="19">
        <f>COUNTIF(F:F,"&gt;0")</f>
        <v>44</v>
      </c>
      <c r="K34" s="20">
        <f>J34/$I$31</f>
        <v>0.36974789915966388</v>
      </c>
      <c r="L34" s="21">
        <f>K34*I34</f>
        <v>2.0665674721943517E-2</v>
      </c>
      <c r="M34" s="28"/>
    </row>
    <row r="35" spans="1:13" x14ac:dyDescent="0.45">
      <c r="A35" s="47">
        <v>43525</v>
      </c>
      <c r="B35" s="5">
        <v>5.33</v>
      </c>
      <c r="C35" s="5">
        <v>284.32998700000002</v>
      </c>
      <c r="D35" s="6">
        <f t="shared" si="0"/>
        <v>2.1072796934865856E-2</v>
      </c>
      <c r="E35" s="6">
        <f t="shared" si="1"/>
        <v>9.7926346302944944E-2</v>
      </c>
      <c r="F35" s="6">
        <f t="shared" si="2"/>
        <v>-3.8426774684039544E-2</v>
      </c>
      <c r="H35" s="37" t="s">
        <v>27</v>
      </c>
      <c r="I35" s="20">
        <f>AVERAGEIF(F:F,"&lt;0")</f>
        <v>-5.6843831311481928E-2</v>
      </c>
      <c r="J35" s="19">
        <f>COUNTIF(F:F,"&lt;0")</f>
        <v>75</v>
      </c>
      <c r="K35" s="20">
        <f>J35/$I$31</f>
        <v>0.63025210084033612</v>
      </c>
      <c r="L35" s="21">
        <f t="shared" ref="L35:L36" si="8">K35*I35</f>
        <v>-3.5825944103875164E-2</v>
      </c>
      <c r="M35" s="28"/>
    </row>
    <row r="36" spans="1:13" ht="14.65" thickBot="1" x14ac:dyDescent="0.5">
      <c r="A36" s="47">
        <v>43497</v>
      </c>
      <c r="B36" s="5">
        <v>5.22</v>
      </c>
      <c r="C36" s="5">
        <v>258.97000100000002</v>
      </c>
      <c r="D36" s="6">
        <f t="shared" si="0"/>
        <v>0.16517857142857117</v>
      </c>
      <c r="E36" s="6">
        <f t="shared" si="1"/>
        <v>4.0249062545680614E-2</v>
      </c>
      <c r="F36" s="6">
        <f t="shared" si="2"/>
        <v>6.246475444144528E-2</v>
      </c>
      <c r="H36" s="38" t="s">
        <v>31</v>
      </c>
      <c r="I36" s="23">
        <v>0</v>
      </c>
      <c r="J36" s="23">
        <f>COUNTIF(F:F,"0")</f>
        <v>0</v>
      </c>
      <c r="K36" s="24">
        <f>J36/$I$31</f>
        <v>0</v>
      </c>
      <c r="L36" s="25">
        <f t="shared" si="8"/>
        <v>0</v>
      </c>
      <c r="M36" s="28"/>
    </row>
    <row r="37" spans="1:13" ht="14.65" thickBot="1" x14ac:dyDescent="0.5">
      <c r="A37" s="47">
        <v>43466</v>
      </c>
      <c r="B37" s="5">
        <v>4.4800000000000004</v>
      </c>
      <c r="C37" s="5">
        <v>248.949997</v>
      </c>
      <c r="D37" s="6">
        <f t="shared" si="0"/>
        <v>0.13994910941475824</v>
      </c>
      <c r="E37" s="6">
        <f t="shared" si="1"/>
        <v>0.18870269455626643</v>
      </c>
      <c r="F37" s="6">
        <f t="shared" si="2"/>
        <v>-2.4376792570754091E-2</v>
      </c>
      <c r="H37" s="26"/>
      <c r="I37" s="27"/>
      <c r="J37" s="27"/>
      <c r="K37" s="27"/>
      <c r="L37" s="27"/>
      <c r="M37" s="28"/>
    </row>
    <row r="38" spans="1:13" x14ac:dyDescent="0.45">
      <c r="A38" s="47">
        <v>43435</v>
      </c>
      <c r="B38" s="5">
        <v>3.93</v>
      </c>
      <c r="C38" s="5">
        <v>209.429993</v>
      </c>
      <c r="D38" s="6">
        <f t="shared" si="0"/>
        <v>8.5635359116022158E-2</v>
      </c>
      <c r="E38" s="6">
        <f t="shared" si="1"/>
        <v>-8.8999113006216435E-2</v>
      </c>
      <c r="F38" s="6">
        <f t="shared" si="2"/>
        <v>8.7317236061119297E-2</v>
      </c>
      <c r="H38" s="39" t="s">
        <v>25</v>
      </c>
      <c r="I38" s="35" t="s">
        <v>32</v>
      </c>
      <c r="J38" s="35" t="s">
        <v>33</v>
      </c>
      <c r="K38" s="35" t="s">
        <v>34</v>
      </c>
      <c r="L38" s="35" t="s">
        <v>35</v>
      </c>
      <c r="M38" s="36" t="s">
        <v>36</v>
      </c>
    </row>
    <row r="39" spans="1:13" x14ac:dyDescent="0.45">
      <c r="A39" s="47">
        <v>43405</v>
      </c>
      <c r="B39" s="5">
        <v>3.62</v>
      </c>
      <c r="C39" s="5">
        <v>229.88999899999999</v>
      </c>
      <c r="D39" s="6">
        <f t="shared" si="0"/>
        <v>-5.494505494505475E-3</v>
      </c>
      <c r="E39" s="6">
        <f t="shared" si="1"/>
        <v>3.9285723860113864E-2</v>
      </c>
      <c r="F39" s="6">
        <f t="shared" si="2"/>
        <v>-2.2390114677309669E-2</v>
      </c>
      <c r="H39" s="40">
        <v>1</v>
      </c>
      <c r="I39" s="20">
        <f>$I$19+($H39*$I$23)</f>
        <v>5.7732068001349265E-2</v>
      </c>
      <c r="J39" s="20">
        <f>$I$19-($H39*$I$23)</f>
        <v>-8.8052606765212552E-2</v>
      </c>
      <c r="K39" s="19">
        <f>COUNTIFS(F:F,"&lt;"&amp;I39,F:F,"&gt;"&amp;J39)</f>
        <v>86</v>
      </c>
      <c r="L39" s="20">
        <f>K39/$I$31</f>
        <v>0.72268907563025209</v>
      </c>
      <c r="M39" s="21">
        <v>0.68269999999999997</v>
      </c>
    </row>
    <row r="40" spans="1:13" x14ac:dyDescent="0.45">
      <c r="A40" s="47">
        <v>43374</v>
      </c>
      <c r="B40" s="5">
        <v>3.64</v>
      </c>
      <c r="C40" s="5">
        <v>221.199997</v>
      </c>
      <c r="D40" s="6">
        <f t="shared" si="0"/>
        <v>-9.2269326683291686E-2</v>
      </c>
      <c r="E40" s="6">
        <f t="shared" si="1"/>
        <v>-0.43458924279282951</v>
      </c>
      <c r="F40" s="6">
        <f t="shared" si="2"/>
        <v>0.17115995805476891</v>
      </c>
      <c r="H40" s="40">
        <v>2</v>
      </c>
      <c r="I40" s="20">
        <f>$I$19+($H40*$I$23)</f>
        <v>0.13062440538463019</v>
      </c>
      <c r="J40" s="20">
        <f>$I$19-($H40*$I$23)</f>
        <v>-0.16094494414849345</v>
      </c>
      <c r="K40" s="19">
        <f>COUNTIFS(F:F,"&lt;"&amp;I40,F:F,"&gt;"&amp;J40)</f>
        <v>111</v>
      </c>
      <c r="L40" s="20">
        <f>K40/$I$31</f>
        <v>0.9327731092436975</v>
      </c>
      <c r="M40" s="21">
        <v>0.95450000000000002</v>
      </c>
    </row>
    <row r="41" spans="1:13" ht="14.65" thickBot="1" x14ac:dyDescent="0.5">
      <c r="A41" s="47">
        <v>43344</v>
      </c>
      <c r="B41" s="5">
        <v>4.01</v>
      </c>
      <c r="C41" s="5">
        <v>391.22000100000002</v>
      </c>
      <c r="D41" s="6">
        <f t="shared" si="0"/>
        <v>-3.6057692307692402E-2</v>
      </c>
      <c r="E41" s="6">
        <f t="shared" si="1"/>
        <v>1.2238379058665982E-2</v>
      </c>
      <c r="F41" s="6">
        <f t="shared" si="2"/>
        <v>-2.4148035683179192E-2</v>
      </c>
      <c r="H41" s="52">
        <v>3</v>
      </c>
      <c r="I41" s="53">
        <f>$I$19+($H41*$I$23)</f>
        <v>0.2035167427679111</v>
      </c>
      <c r="J41" s="53">
        <f>$I$19-($H41*$I$23)</f>
        <v>-0.23383728153177435</v>
      </c>
      <c r="K41" s="54">
        <f>COUNTIFS(F:F,"&lt;"&amp;I41,F:F,"&gt;"&amp;J41)</f>
        <v>117</v>
      </c>
      <c r="L41" s="53">
        <f>K41/$I$31</f>
        <v>0.98319327731092432</v>
      </c>
      <c r="M41" s="55">
        <v>0.99729999999999996</v>
      </c>
    </row>
    <row r="42" spans="1:13" ht="14.65" thickBot="1" x14ac:dyDescent="0.5">
      <c r="A42" s="47">
        <v>43313</v>
      </c>
      <c r="B42" s="5">
        <v>4.16</v>
      </c>
      <c r="C42" s="5">
        <v>386.48998999999998</v>
      </c>
      <c r="D42" s="6">
        <f t="shared" si="0"/>
        <v>9.7625329815303363E-2</v>
      </c>
      <c r="E42" s="6">
        <f t="shared" si="1"/>
        <v>8.3667451288391037E-2</v>
      </c>
      <c r="F42" s="6">
        <f t="shared" si="2"/>
        <v>6.9789392634561631E-3</v>
      </c>
      <c r="H42" s="95" t="s">
        <v>42</v>
      </c>
      <c r="I42" s="96"/>
      <c r="J42" s="96"/>
      <c r="K42" s="96"/>
      <c r="L42" s="96"/>
      <c r="M42" s="97"/>
    </row>
    <row r="43" spans="1:13" x14ac:dyDescent="0.45">
      <c r="A43" s="47">
        <v>43282</v>
      </c>
      <c r="B43" s="5">
        <v>3.79</v>
      </c>
      <c r="C43" s="5">
        <v>356.64999399999999</v>
      </c>
      <c r="D43" s="6">
        <f t="shared" si="0"/>
        <v>-6.879606879606881E-2</v>
      </c>
      <c r="E43" s="6">
        <f t="shared" si="1"/>
        <v>4.2409476716717798E-2</v>
      </c>
      <c r="F43" s="6">
        <f t="shared" si="2"/>
        <v>-5.5602772756393304E-2</v>
      </c>
      <c r="H43" s="66">
        <v>0.01</v>
      </c>
      <c r="I43" s="67">
        <f t="shared" ref="I43:I57" si="9">_xlfn.PERCENTILE.INC(F:F,H43)</f>
        <v>-0.22388332407568812</v>
      </c>
      <c r="J43" s="68">
        <v>0.2</v>
      </c>
      <c r="K43" s="67">
        <f t="shared" ref="K43:K55" si="10">_xlfn.PERCENTILE.INC(F:F,J43)</f>
        <v>-6.3206716604494728E-2</v>
      </c>
      <c r="L43" s="68">
        <v>0.85</v>
      </c>
      <c r="M43" s="69">
        <f t="shared" ref="M43:M57" si="11">_xlfn.PERCENTILE.INC(F:F,L43)</f>
        <v>5.3034204780952554E-2</v>
      </c>
    </row>
    <row r="44" spans="1:13" x14ac:dyDescent="0.45">
      <c r="A44" s="47">
        <v>43252</v>
      </c>
      <c r="B44" s="5">
        <v>4.07</v>
      </c>
      <c r="C44" s="5">
        <v>342.14001500000001</v>
      </c>
      <c r="D44" s="6">
        <f t="shared" si="0"/>
        <v>-7.4999999999999956E-2</v>
      </c>
      <c r="E44" s="6">
        <f t="shared" si="1"/>
        <v>3.0697402113665229E-2</v>
      </c>
      <c r="F44" s="6">
        <f t="shared" si="2"/>
        <v>-5.2848701056832592E-2</v>
      </c>
      <c r="H44" s="56">
        <v>0.02</v>
      </c>
      <c r="I44" s="57">
        <f t="shared" si="9"/>
        <v>-0.16383812419637347</v>
      </c>
      <c r="J44" s="58">
        <v>0.25</v>
      </c>
      <c r="K44" s="57">
        <f t="shared" si="10"/>
        <v>-4.7856185059078071E-2</v>
      </c>
      <c r="L44" s="58">
        <v>0.86</v>
      </c>
      <c r="M44" s="59">
        <f t="shared" si="11"/>
        <v>5.8855265392781249E-2</v>
      </c>
    </row>
    <row r="45" spans="1:13" x14ac:dyDescent="0.45">
      <c r="A45" s="47">
        <v>43221</v>
      </c>
      <c r="B45" s="5">
        <v>4.4000000000000004</v>
      </c>
      <c r="C45" s="5">
        <v>331.95001200000002</v>
      </c>
      <c r="D45" s="6">
        <f t="shared" si="0"/>
        <v>0.27536231884057982</v>
      </c>
      <c r="E45" s="6">
        <f t="shared" si="1"/>
        <v>0.32859717441831893</v>
      </c>
      <c r="F45" s="6">
        <f t="shared" si="2"/>
        <v>-2.6617427788869552E-2</v>
      </c>
      <c r="H45" s="56">
        <v>0.03</v>
      </c>
      <c r="I45" s="57">
        <f t="shared" si="9"/>
        <v>-0.14936440132851886</v>
      </c>
      <c r="J45" s="58">
        <v>0.3</v>
      </c>
      <c r="K45" s="57">
        <f t="shared" si="10"/>
        <v>-4.3608637829382256E-2</v>
      </c>
      <c r="L45" s="58">
        <v>0.87</v>
      </c>
      <c r="M45" s="59">
        <f t="shared" si="11"/>
        <v>6.0950883685986466E-2</v>
      </c>
    </row>
    <row r="46" spans="1:13" x14ac:dyDescent="0.45">
      <c r="A46" s="47">
        <v>43191</v>
      </c>
      <c r="B46" s="5">
        <v>3.45</v>
      </c>
      <c r="C46" s="5">
        <v>249.85000600000001</v>
      </c>
      <c r="D46" s="6">
        <f t="shared" si="0"/>
        <v>-5.7377049180327822E-2</v>
      </c>
      <c r="E46" s="6">
        <f t="shared" si="1"/>
        <v>-5.0969576494851454E-3</v>
      </c>
      <c r="F46" s="6">
        <f t="shared" si="2"/>
        <v>-2.6140045765421338E-2</v>
      </c>
      <c r="H46" s="56">
        <v>0.04</v>
      </c>
      <c r="I46" s="57">
        <f t="shared" si="9"/>
        <v>-0.13022682349569981</v>
      </c>
      <c r="J46" s="58">
        <v>0.35</v>
      </c>
      <c r="K46" s="57">
        <f t="shared" si="10"/>
        <v>-3.7195678305732859E-2</v>
      </c>
      <c r="L46" s="58">
        <v>0.88</v>
      </c>
      <c r="M46" s="59">
        <f t="shared" si="11"/>
        <v>6.2383633666172215E-2</v>
      </c>
    </row>
    <row r="47" spans="1:13" x14ac:dyDescent="0.45">
      <c r="A47" s="47">
        <v>43160</v>
      </c>
      <c r="B47" s="5">
        <v>3.66</v>
      </c>
      <c r="C47" s="5">
        <v>251.13000500000001</v>
      </c>
      <c r="D47" s="6">
        <f t="shared" si="0"/>
        <v>5.7803468208092568E-2</v>
      </c>
      <c r="E47" s="6">
        <f t="shared" si="1"/>
        <v>-4.3387111371545828E-2</v>
      </c>
      <c r="F47" s="6">
        <f t="shared" si="2"/>
        <v>5.0595289789819198E-2</v>
      </c>
      <c r="H47" s="56">
        <v>0.05</v>
      </c>
      <c r="I47" s="57">
        <f t="shared" si="9"/>
        <v>-0.11798001068453136</v>
      </c>
      <c r="J47" s="58">
        <v>0.4</v>
      </c>
      <c r="K47" s="57">
        <f t="shared" si="10"/>
        <v>-3.1046997417887544E-2</v>
      </c>
      <c r="L47" s="58">
        <v>0.89</v>
      </c>
      <c r="M47" s="59">
        <f t="shared" si="11"/>
        <v>6.9991415002547908E-2</v>
      </c>
    </row>
    <row r="48" spans="1:13" x14ac:dyDescent="0.45">
      <c r="A48" s="47">
        <v>43132</v>
      </c>
      <c r="B48" s="5">
        <v>3.46</v>
      </c>
      <c r="C48" s="5">
        <v>262.51998900000001</v>
      </c>
      <c r="D48" s="6">
        <f t="shared" si="0"/>
        <v>-3.3519553072625774E-2</v>
      </c>
      <c r="E48" s="6">
        <f t="shared" si="1"/>
        <v>1.9846908396947693E-3</v>
      </c>
      <c r="F48" s="6">
        <f t="shared" si="2"/>
        <v>-1.7752121956160272E-2</v>
      </c>
      <c r="H48" s="56">
        <v>0.06</v>
      </c>
      <c r="I48" s="57">
        <f t="shared" si="9"/>
        <v>-0.11702365862615095</v>
      </c>
      <c r="J48" s="58">
        <v>0.45</v>
      </c>
      <c r="K48" s="57">
        <f t="shared" si="10"/>
        <v>-2.6440389117932676E-2</v>
      </c>
      <c r="L48" s="58">
        <v>0.9</v>
      </c>
      <c r="M48" s="59">
        <f t="shared" si="11"/>
        <v>8.4685812594343005E-2</v>
      </c>
    </row>
    <row r="49" spans="1:13" x14ac:dyDescent="0.45">
      <c r="A49" s="47">
        <v>43101</v>
      </c>
      <c r="B49" s="5">
        <v>3.58</v>
      </c>
      <c r="C49" s="5">
        <v>262</v>
      </c>
      <c r="D49" s="6">
        <f t="shared" si="0"/>
        <v>-0.10499999999999998</v>
      </c>
      <c r="E49" s="6">
        <f t="shared" si="1"/>
        <v>0.17917096917799213</v>
      </c>
      <c r="F49" s="6">
        <f t="shared" si="2"/>
        <v>-0.14208548458899606</v>
      </c>
      <c r="H49" s="56">
        <v>7.0000000000000007E-2</v>
      </c>
      <c r="I49" s="57">
        <f t="shared" si="9"/>
        <v>-0.11419793200231816</v>
      </c>
      <c r="J49" s="58">
        <v>0.5</v>
      </c>
      <c r="K49" s="57">
        <f t="shared" si="10"/>
        <v>-2.2390114677309669E-2</v>
      </c>
      <c r="L49" s="58">
        <v>0.91</v>
      </c>
      <c r="M49" s="59">
        <f t="shared" si="11"/>
        <v>8.6804465954838206E-2</v>
      </c>
    </row>
    <row r="50" spans="1:13" x14ac:dyDescent="0.45">
      <c r="A50" s="47">
        <v>43070</v>
      </c>
      <c r="B50" s="5">
        <v>4</v>
      </c>
      <c r="C50" s="5">
        <v>222.19000199999999</v>
      </c>
      <c r="D50" s="6">
        <f t="shared" si="0"/>
        <v>-2.4390243902438935E-2</v>
      </c>
      <c r="E50" s="6">
        <f t="shared" si="1"/>
        <v>-0.14830574309441613</v>
      </c>
      <c r="F50" s="6">
        <f t="shared" si="2"/>
        <v>6.1957749595988598E-2</v>
      </c>
      <c r="H50" s="56">
        <v>0.08</v>
      </c>
      <c r="I50" s="57">
        <f t="shared" si="9"/>
        <v>-0.10777820327844621</v>
      </c>
      <c r="J50" s="58">
        <v>0.55000000000000004</v>
      </c>
      <c r="K50" s="57">
        <f t="shared" si="10"/>
        <v>-1.9490583714066916E-2</v>
      </c>
      <c r="L50" s="58">
        <v>0.92</v>
      </c>
      <c r="M50" s="59">
        <f t="shared" si="11"/>
        <v>9.2275398917315454E-2</v>
      </c>
    </row>
    <row r="51" spans="1:13" x14ac:dyDescent="0.45">
      <c r="A51" s="47">
        <v>43040</v>
      </c>
      <c r="B51" s="5">
        <v>4.0999999999999996</v>
      </c>
      <c r="C51" s="5">
        <v>260.88000499999998</v>
      </c>
      <c r="D51" s="6">
        <f t="shared" si="0"/>
        <v>5.1282051282051322E-2</v>
      </c>
      <c r="E51" s="6">
        <f t="shared" si="1"/>
        <v>9.1639506931785242E-2</v>
      </c>
      <c r="F51" s="6">
        <f t="shared" si="2"/>
        <v>-2.017872782486696E-2</v>
      </c>
      <c r="H51" s="56">
        <v>0.09</v>
      </c>
      <c r="I51" s="57">
        <f t="shared" si="9"/>
        <v>-0.10560772844841912</v>
      </c>
      <c r="J51" s="58">
        <v>0.6</v>
      </c>
      <c r="K51" s="57">
        <f t="shared" si="10"/>
        <v>-8.9762258346050231E-3</v>
      </c>
      <c r="L51" s="58">
        <v>0.93</v>
      </c>
      <c r="M51" s="59">
        <f t="shared" si="11"/>
        <v>0.10796132471368233</v>
      </c>
    </row>
    <row r="52" spans="1:13" x14ac:dyDescent="0.45">
      <c r="A52" s="47">
        <v>43009</v>
      </c>
      <c r="B52" s="5">
        <v>3.9</v>
      </c>
      <c r="C52" s="5">
        <v>238.979996</v>
      </c>
      <c r="D52" s="6">
        <f t="shared" si="0"/>
        <v>3.1746031746031855E-2</v>
      </c>
      <c r="E52" s="6">
        <f t="shared" si="1"/>
        <v>0.28297627566486772</v>
      </c>
      <c r="F52" s="6">
        <f t="shared" si="2"/>
        <v>-0.12561512195941793</v>
      </c>
      <c r="H52" s="56">
        <v>0.1</v>
      </c>
      <c r="I52" s="57">
        <f t="shared" si="9"/>
        <v>-0.10203861490080449</v>
      </c>
      <c r="J52" s="58">
        <v>0.65</v>
      </c>
      <c r="K52" s="57">
        <f t="shared" si="10"/>
        <v>5.8381773839091119E-3</v>
      </c>
      <c r="L52" s="58">
        <v>0.94</v>
      </c>
      <c r="M52" s="59">
        <f t="shared" si="11"/>
        <v>0.1173084243793622</v>
      </c>
    </row>
    <row r="53" spans="1:13" x14ac:dyDescent="0.45">
      <c r="A53" s="47">
        <v>42979</v>
      </c>
      <c r="B53" s="5">
        <v>3.78</v>
      </c>
      <c r="C53" s="5">
        <v>186.270004</v>
      </c>
      <c r="D53" s="6">
        <f t="shared" si="0"/>
        <v>8.0000000000000071E-3</v>
      </c>
      <c r="E53" s="6">
        <f t="shared" si="1"/>
        <v>5.3921006735288879E-2</v>
      </c>
      <c r="F53" s="6">
        <f t="shared" si="2"/>
        <v>-2.2960503367644436E-2</v>
      </c>
      <c r="H53" s="56">
        <v>0.11</v>
      </c>
      <c r="I53" s="57">
        <f t="shared" si="9"/>
        <v>-9.4461353918636928E-2</v>
      </c>
      <c r="J53" s="58">
        <v>0.7</v>
      </c>
      <c r="K53" s="57">
        <f t="shared" si="10"/>
        <v>1.2198571784448626E-2</v>
      </c>
      <c r="L53" s="58">
        <v>0.95</v>
      </c>
      <c r="M53" s="59">
        <f t="shared" si="11"/>
        <v>0.1229814198920777</v>
      </c>
    </row>
    <row r="54" spans="1:13" x14ac:dyDescent="0.45">
      <c r="A54" s="47">
        <v>42948</v>
      </c>
      <c r="B54" s="5">
        <v>3.75</v>
      </c>
      <c r="C54" s="5">
        <v>176.740005</v>
      </c>
      <c r="D54" s="6">
        <f t="shared" si="0"/>
        <v>3.8781163434903121E-2</v>
      </c>
      <c r="E54" s="6">
        <f t="shared" si="1"/>
        <v>5.6867842058669904E-2</v>
      </c>
      <c r="F54" s="6">
        <f t="shared" si="2"/>
        <v>-9.0433393118833916E-3</v>
      </c>
      <c r="H54" s="56">
        <v>0.12</v>
      </c>
      <c r="I54" s="57">
        <f t="shared" si="9"/>
        <v>-9.0474862753898502E-2</v>
      </c>
      <c r="J54" s="58">
        <v>0.75</v>
      </c>
      <c r="K54" s="57">
        <f t="shared" si="10"/>
        <v>2.3750058615524039E-2</v>
      </c>
      <c r="L54" s="58">
        <v>0.96</v>
      </c>
      <c r="M54" s="59">
        <f t="shared" si="11"/>
        <v>0.12984556889727497</v>
      </c>
    </row>
    <row r="55" spans="1:13" x14ac:dyDescent="0.45">
      <c r="A55" s="47">
        <v>42917</v>
      </c>
      <c r="B55" s="5">
        <v>3.61</v>
      </c>
      <c r="C55" s="5">
        <v>167.229996</v>
      </c>
      <c r="D55" s="6">
        <f t="shared" si="0"/>
        <v>-8.2417582417583235E-3</v>
      </c>
      <c r="E55" s="6">
        <f t="shared" si="1"/>
        <v>0.11397549673512852</v>
      </c>
      <c r="F55" s="6">
        <f t="shared" si="2"/>
        <v>-6.1108627488443423E-2</v>
      </c>
      <c r="H55" s="56">
        <v>0.13</v>
      </c>
      <c r="I55" s="57">
        <f t="shared" si="9"/>
        <v>-8.4424533137233873E-2</v>
      </c>
      <c r="J55" s="58">
        <v>0.8</v>
      </c>
      <c r="K55" s="57">
        <f t="shared" si="10"/>
        <v>3.4016471487476468E-2</v>
      </c>
      <c r="L55" s="58">
        <v>0.97</v>
      </c>
      <c r="M55" s="59">
        <f t="shared" si="11"/>
        <v>0.13358473240144292</v>
      </c>
    </row>
    <row r="56" spans="1:13" x14ac:dyDescent="0.45">
      <c r="A56" s="47">
        <v>42887</v>
      </c>
      <c r="B56" s="5">
        <v>3.64</v>
      </c>
      <c r="C56" s="5">
        <v>150.11999499999999</v>
      </c>
      <c r="D56" s="6">
        <f t="shared" si="0"/>
        <v>3.4090909090909172E-2</v>
      </c>
      <c r="E56" s="6">
        <f t="shared" si="1"/>
        <v>3.388428444664493E-2</v>
      </c>
      <c r="F56" s="6">
        <f t="shared" si="2"/>
        <v>1.0331232213212083E-4</v>
      </c>
      <c r="H56" s="56">
        <v>0.14000000000000001</v>
      </c>
      <c r="I56" s="57">
        <f t="shared" si="9"/>
        <v>-8.0445498918924219E-2</v>
      </c>
      <c r="J56" s="58"/>
      <c r="K56" s="57"/>
      <c r="L56" s="58">
        <v>0.98</v>
      </c>
      <c r="M56" s="59">
        <f t="shared" si="11"/>
        <v>0.13707951848833835</v>
      </c>
    </row>
    <row r="57" spans="1:13" ht="14.65" thickBot="1" x14ac:dyDescent="0.5">
      <c r="A57" s="47">
        <v>42856</v>
      </c>
      <c r="B57" s="5">
        <v>3.52</v>
      </c>
      <c r="C57" s="5">
        <v>145.199997</v>
      </c>
      <c r="D57" s="6">
        <f t="shared" si="0"/>
        <v>0.2179930795847751</v>
      </c>
      <c r="E57" s="6">
        <f t="shared" si="1"/>
        <v>7.8591608921096734E-2</v>
      </c>
      <c r="F57" s="6">
        <f t="shared" si="2"/>
        <v>6.9700735331839181E-2</v>
      </c>
      <c r="H57" s="60">
        <v>0.15</v>
      </c>
      <c r="I57" s="61">
        <f t="shared" si="9"/>
        <v>-7.3886627955132969E-2</v>
      </c>
      <c r="J57" s="62"/>
      <c r="K57" s="63"/>
      <c r="L57" s="64">
        <v>0.99</v>
      </c>
      <c r="M57" s="65">
        <f t="shared" si="11"/>
        <v>0.14841348677316779</v>
      </c>
    </row>
    <row r="58" spans="1:13" x14ac:dyDescent="0.45">
      <c r="A58" s="47">
        <v>42826</v>
      </c>
      <c r="B58" s="5">
        <v>2.89</v>
      </c>
      <c r="C58" s="5">
        <v>134.61999499999999</v>
      </c>
      <c r="D58" s="6">
        <f t="shared" si="0"/>
        <v>1.4035087719298289E-2</v>
      </c>
      <c r="E58" s="6">
        <f t="shared" si="1"/>
        <v>0.17356809496615888</v>
      </c>
      <c r="F58" s="6">
        <f t="shared" si="2"/>
        <v>-7.9766503623430296E-2</v>
      </c>
      <c r="H58" s="42"/>
      <c r="J58" s="42"/>
      <c r="L58" s="42"/>
      <c r="M58" s="42"/>
    </row>
    <row r="59" spans="1:13" x14ac:dyDescent="0.45">
      <c r="A59" s="47">
        <v>42795</v>
      </c>
      <c r="B59" s="5">
        <v>2.85</v>
      </c>
      <c r="C59" s="5">
        <v>114.709999</v>
      </c>
      <c r="D59" s="6">
        <f t="shared" si="0"/>
        <v>7.547169811320753E-2</v>
      </c>
      <c r="E59" s="6">
        <f t="shared" si="1"/>
        <v>0.11629035390637688</v>
      </c>
      <c r="F59" s="6">
        <f t="shared" si="2"/>
        <v>-2.0409327896584673E-2</v>
      </c>
      <c r="J59" s="42"/>
      <c r="L59" s="42"/>
    </row>
    <row r="60" spans="1:13" x14ac:dyDescent="0.45">
      <c r="A60" s="47">
        <v>42767</v>
      </c>
      <c r="B60" s="5">
        <v>2.65</v>
      </c>
      <c r="C60" s="5">
        <v>102.760002</v>
      </c>
      <c r="D60" s="6">
        <f t="shared" si="0"/>
        <v>5.1587301587301626E-2</v>
      </c>
      <c r="E60" s="6">
        <f t="shared" si="1"/>
        <v>0.12073290171811735</v>
      </c>
      <c r="F60" s="6">
        <f t="shared" si="2"/>
        <v>-3.457280006540786E-2</v>
      </c>
      <c r="J60" s="42"/>
      <c r="L60" s="42"/>
    </row>
    <row r="61" spans="1:13" x14ac:dyDescent="0.45">
      <c r="A61" s="47">
        <v>42736</v>
      </c>
      <c r="B61" s="5">
        <v>2.52</v>
      </c>
      <c r="C61" s="5">
        <v>91.690002000000007</v>
      </c>
      <c r="D61" s="6">
        <f t="shared" si="0"/>
        <v>-1.9455252918287869E-2</v>
      </c>
      <c r="E61" s="6">
        <f t="shared" si="1"/>
        <v>-4.6187403917218428E-2</v>
      </c>
      <c r="F61" s="6">
        <f t="shared" si="2"/>
        <v>1.336607549946528E-2</v>
      </c>
      <c r="J61" s="42"/>
      <c r="L61" s="42"/>
    </row>
    <row r="62" spans="1:13" x14ac:dyDescent="0.45">
      <c r="A62" s="47">
        <v>42705</v>
      </c>
      <c r="B62" s="5">
        <v>2.57</v>
      </c>
      <c r="C62" s="5">
        <v>96.129997000000003</v>
      </c>
      <c r="D62" s="6">
        <f t="shared" si="0"/>
        <v>-0.10139860139860146</v>
      </c>
      <c r="E62" s="6">
        <f t="shared" si="1"/>
        <v>3.3100418062318671E-2</v>
      </c>
      <c r="F62" s="6">
        <f t="shared" si="2"/>
        <v>-6.7249509730460066E-2</v>
      </c>
      <c r="J62" s="42"/>
      <c r="L62" s="42"/>
    </row>
    <row r="63" spans="1:13" x14ac:dyDescent="0.45">
      <c r="A63" s="47">
        <v>42675</v>
      </c>
      <c r="B63" s="5">
        <v>2.86</v>
      </c>
      <c r="C63" s="5">
        <v>93.050003000000004</v>
      </c>
      <c r="D63" s="6">
        <f t="shared" si="0"/>
        <v>1.7793594306049654E-2</v>
      </c>
      <c r="E63" s="6">
        <f t="shared" si="1"/>
        <v>8.2984231447491341E-2</v>
      </c>
      <c r="F63" s="6">
        <f t="shared" si="2"/>
        <v>-3.2595318570720844E-2</v>
      </c>
      <c r="J63" s="42"/>
      <c r="L63" s="42"/>
    </row>
    <row r="64" spans="1:13" x14ac:dyDescent="0.45">
      <c r="A64" s="47">
        <v>42644</v>
      </c>
      <c r="B64" s="5">
        <v>2.81</v>
      </c>
      <c r="C64" s="5">
        <v>85.919998000000007</v>
      </c>
      <c r="D64" s="6">
        <f t="shared" si="0"/>
        <v>-3.4364261168384869E-2</v>
      </c>
      <c r="E64" s="6">
        <f t="shared" si="1"/>
        <v>-8.352002133333325E-2</v>
      </c>
      <c r="F64" s="6">
        <f t="shared" si="2"/>
        <v>2.4577880082474191E-2</v>
      </c>
      <c r="J64" s="42"/>
      <c r="L64" s="42"/>
    </row>
    <row r="65" spans="1:12" x14ac:dyDescent="0.45">
      <c r="A65" s="47">
        <v>42614</v>
      </c>
      <c r="B65" s="5">
        <v>2.91</v>
      </c>
      <c r="C65" s="5">
        <v>93.75</v>
      </c>
      <c r="D65" s="6">
        <f t="shared" si="0"/>
        <v>6.5934065934065922E-2</v>
      </c>
      <c r="E65" s="6">
        <f t="shared" si="1"/>
        <v>9.1496015253045293E-3</v>
      </c>
      <c r="F65" s="6">
        <f t="shared" si="2"/>
        <v>2.8392232204380696E-2</v>
      </c>
      <c r="J65" s="42"/>
      <c r="L65" s="42"/>
    </row>
    <row r="66" spans="1:12" x14ac:dyDescent="0.45">
      <c r="A66" s="47">
        <v>42583</v>
      </c>
      <c r="B66" s="5">
        <v>2.73</v>
      </c>
      <c r="C66" s="5">
        <v>92.900002000000001</v>
      </c>
      <c r="D66" s="6">
        <f t="shared" si="0"/>
        <v>-4.8780487804878092E-2</v>
      </c>
      <c r="E66" s="6">
        <f t="shared" si="1"/>
        <v>4.2063936240853916E-2</v>
      </c>
      <c r="F66" s="6">
        <f t="shared" si="2"/>
        <v>-4.5422212022866004E-2</v>
      </c>
      <c r="H66" s="42"/>
      <c r="J66" s="42"/>
      <c r="L66" s="42"/>
    </row>
    <row r="67" spans="1:12" x14ac:dyDescent="0.45">
      <c r="A67" s="47">
        <v>42552</v>
      </c>
      <c r="B67" s="5">
        <v>2.87</v>
      </c>
      <c r="C67" s="5">
        <v>89.150002000000001</v>
      </c>
      <c r="D67" s="6">
        <f t="shared" ref="D67:D120" si="12">B67/B68-1</f>
        <v>0.15261044176706817</v>
      </c>
      <c r="E67" s="6">
        <f t="shared" ref="E67:E120" si="13">C67/C68-1</f>
        <v>0.1067659674699204</v>
      </c>
      <c r="F67" s="6">
        <f t="shared" ref="F67:F120" si="14">($P$4*D67)-($P$5*E67)</f>
        <v>2.2922237148573887E-2</v>
      </c>
      <c r="H67" s="42"/>
      <c r="J67" s="42"/>
      <c r="L67" s="42"/>
    </row>
    <row r="68" spans="1:12" x14ac:dyDescent="0.45">
      <c r="A68" s="47">
        <v>42522</v>
      </c>
      <c r="B68" s="5">
        <v>2.4900000000000002</v>
      </c>
      <c r="C68" s="5">
        <v>80.550003000000004</v>
      </c>
      <c r="D68" s="6">
        <f t="shared" si="12"/>
        <v>-3.112840466926059E-2</v>
      </c>
      <c r="E68" s="6">
        <f t="shared" si="13"/>
        <v>2.1819116533829508E-2</v>
      </c>
      <c r="F68" s="6">
        <f t="shared" si="14"/>
        <v>-2.6473760601545049E-2</v>
      </c>
    </row>
    <row r="69" spans="1:12" x14ac:dyDescent="0.45">
      <c r="A69" s="47">
        <v>42491</v>
      </c>
      <c r="B69" s="5">
        <v>2.57</v>
      </c>
      <c r="C69" s="5">
        <v>78.830001999999993</v>
      </c>
      <c r="D69" s="6">
        <f t="shared" si="12"/>
        <v>7.9831932773109182E-2</v>
      </c>
      <c r="E69" s="6">
        <f t="shared" si="13"/>
        <v>9.197949599724331E-2</v>
      </c>
      <c r="F69" s="6">
        <f t="shared" si="14"/>
        <v>-6.073781612067064E-3</v>
      </c>
    </row>
    <row r="70" spans="1:12" x14ac:dyDescent="0.45">
      <c r="A70" s="47">
        <v>42461</v>
      </c>
      <c r="B70" s="5">
        <v>2.38</v>
      </c>
      <c r="C70" s="5">
        <v>72.190002000000007</v>
      </c>
      <c r="D70" s="6">
        <f t="shared" si="12"/>
        <v>4.3859649122807154E-2</v>
      </c>
      <c r="E70" s="6">
        <f t="shared" si="13"/>
        <v>-6.8785250549312504E-3</v>
      </c>
      <c r="F70" s="6">
        <f t="shared" si="14"/>
        <v>2.5369087088869202E-2</v>
      </c>
    </row>
    <row r="71" spans="1:12" x14ac:dyDescent="0.45">
      <c r="A71" s="47">
        <v>42430</v>
      </c>
      <c r="B71" s="5">
        <v>2.2799999999999998</v>
      </c>
      <c r="C71" s="5">
        <v>72.690002000000007</v>
      </c>
      <c r="D71" s="6">
        <f t="shared" si="12"/>
        <v>8.0568720379146974E-2</v>
      </c>
      <c r="E71" s="6">
        <f t="shared" si="13"/>
        <v>0.1008632909414402</v>
      </c>
      <c r="F71" s="6">
        <f t="shared" si="14"/>
        <v>-1.0147285281146612E-2</v>
      </c>
    </row>
    <row r="72" spans="1:12" x14ac:dyDescent="0.45">
      <c r="A72" s="47">
        <v>42401</v>
      </c>
      <c r="B72" s="5">
        <v>2.11</v>
      </c>
      <c r="C72" s="5">
        <v>66.029999000000004</v>
      </c>
      <c r="D72" s="6">
        <f t="shared" si="12"/>
        <v>-0.14227642276422769</v>
      </c>
      <c r="E72" s="6">
        <f t="shared" si="13"/>
        <v>-1.6631388216380438E-3</v>
      </c>
      <c r="F72" s="6">
        <f t="shared" si="14"/>
        <v>-7.0306641971294825E-2</v>
      </c>
    </row>
    <row r="73" spans="1:12" x14ac:dyDescent="0.45">
      <c r="A73" s="47">
        <v>42370</v>
      </c>
      <c r="B73" s="5">
        <v>2.46</v>
      </c>
      <c r="C73" s="5">
        <v>66.139999000000003</v>
      </c>
      <c r="D73" s="6">
        <f t="shared" si="12"/>
        <v>-8.2089552238805985E-2</v>
      </c>
      <c r="E73" s="6">
        <f t="shared" si="13"/>
        <v>4.4039636872883481E-3</v>
      </c>
      <c r="F73" s="6">
        <f t="shared" si="14"/>
        <v>-4.3246757963047167E-2</v>
      </c>
    </row>
    <row r="74" spans="1:12" x14ac:dyDescent="0.45">
      <c r="A74" s="47">
        <v>42339</v>
      </c>
      <c r="B74" s="5">
        <v>2.68</v>
      </c>
      <c r="C74" s="5">
        <v>65.849997999999999</v>
      </c>
      <c r="D74" s="6">
        <f t="shared" si="12"/>
        <v>3.8759689922480689E-2</v>
      </c>
      <c r="E74" s="6">
        <f t="shared" si="13"/>
        <v>-1.3335331535371031E-2</v>
      </c>
      <c r="F74" s="6">
        <f t="shared" si="14"/>
        <v>2.604751072892586E-2</v>
      </c>
    </row>
    <row r="75" spans="1:12" x14ac:dyDescent="0.45">
      <c r="A75" s="47">
        <v>42309</v>
      </c>
      <c r="B75" s="5">
        <v>2.58</v>
      </c>
      <c r="C75" s="5">
        <v>66.739998</v>
      </c>
      <c r="D75" s="6">
        <f t="shared" si="12"/>
        <v>8.8607594936708889E-2</v>
      </c>
      <c r="E75" s="6">
        <f t="shared" si="13"/>
        <v>1.9553911083927789E-2</v>
      </c>
      <c r="F75" s="6">
        <f t="shared" si="14"/>
        <v>3.452684192639055E-2</v>
      </c>
    </row>
    <row r="76" spans="1:12" x14ac:dyDescent="0.45">
      <c r="A76" s="47">
        <v>42278</v>
      </c>
      <c r="B76" s="5">
        <v>2.37</v>
      </c>
      <c r="C76" s="5">
        <v>65.459998999999996</v>
      </c>
      <c r="D76" s="6">
        <f t="shared" si="12"/>
        <v>3.947368421052655E-2</v>
      </c>
      <c r="E76" s="6">
        <f t="shared" si="13"/>
        <v>0.15327697862145784</v>
      </c>
      <c r="F76" s="6">
        <f t="shared" si="14"/>
        <v>-5.6901647205465644E-2</v>
      </c>
    </row>
    <row r="77" spans="1:12" x14ac:dyDescent="0.45">
      <c r="A77" s="47">
        <v>42248</v>
      </c>
      <c r="B77" s="5">
        <v>2.2799999999999998</v>
      </c>
      <c r="C77" s="5">
        <v>56.759998000000003</v>
      </c>
      <c r="D77" s="6">
        <f t="shared" si="12"/>
        <v>-9.8814229249011842E-2</v>
      </c>
      <c r="E77" s="6">
        <f t="shared" si="13"/>
        <v>2.8268552235639621E-3</v>
      </c>
      <c r="F77" s="6">
        <f t="shared" si="14"/>
        <v>-5.0820542236287902E-2</v>
      </c>
    </row>
    <row r="78" spans="1:12" x14ac:dyDescent="0.45">
      <c r="A78" s="47">
        <v>42217</v>
      </c>
      <c r="B78" s="5">
        <v>2.5299999999999998</v>
      </c>
      <c r="C78" s="5">
        <v>56.599997999999999</v>
      </c>
      <c r="D78" s="6">
        <f t="shared" si="12"/>
        <v>2.0161290322580516E-2</v>
      </c>
      <c r="E78" s="6">
        <f t="shared" si="13"/>
        <v>-9.7288722531280403E-2</v>
      </c>
      <c r="F78" s="6">
        <f t="shared" si="14"/>
        <v>5.8725006426930459E-2</v>
      </c>
    </row>
    <row r="79" spans="1:12" x14ac:dyDescent="0.45">
      <c r="A79" s="47">
        <v>42186</v>
      </c>
      <c r="B79" s="5">
        <v>2.48</v>
      </c>
      <c r="C79" s="5">
        <v>62.700001</v>
      </c>
      <c r="D79" s="6">
        <f t="shared" si="12"/>
        <v>-0.13286713286713281</v>
      </c>
      <c r="E79" s="6">
        <f t="shared" si="13"/>
        <v>-1.594323099893824E-4</v>
      </c>
      <c r="F79" s="6">
        <f t="shared" si="14"/>
        <v>-6.6353850278571713E-2</v>
      </c>
    </row>
    <row r="80" spans="1:12" x14ac:dyDescent="0.45">
      <c r="A80" s="47">
        <v>42156</v>
      </c>
      <c r="B80" s="5">
        <v>2.86</v>
      </c>
      <c r="C80" s="5">
        <v>62.709999000000003</v>
      </c>
      <c r="D80" s="6">
        <f t="shared" si="12"/>
        <v>-3.0508474576271261E-2</v>
      </c>
      <c r="E80" s="6">
        <f t="shared" si="13"/>
        <v>3.3624543715989663E-2</v>
      </c>
      <c r="F80" s="6">
        <f t="shared" si="14"/>
        <v>-3.2066509146130462E-2</v>
      </c>
    </row>
    <row r="81" spans="1:6" x14ac:dyDescent="0.45">
      <c r="A81" s="47">
        <v>42125</v>
      </c>
      <c r="B81" s="5">
        <v>2.95</v>
      </c>
      <c r="C81" s="5">
        <v>60.669998</v>
      </c>
      <c r="D81" s="6">
        <f t="shared" si="12"/>
        <v>0.20408163265306123</v>
      </c>
      <c r="E81" s="6">
        <f t="shared" si="13"/>
        <v>3.1101257647858427E-2</v>
      </c>
      <c r="F81" s="6">
        <f t="shared" si="14"/>
        <v>8.6490187502601401E-2</v>
      </c>
    </row>
    <row r="82" spans="1:6" x14ac:dyDescent="0.45">
      <c r="A82" s="47">
        <v>42095</v>
      </c>
      <c r="B82" s="5">
        <v>2.4500000000000002</v>
      </c>
      <c r="C82" s="5">
        <v>58.84</v>
      </c>
      <c r="D82" s="6">
        <f t="shared" si="12"/>
        <v>-0.14035087719298245</v>
      </c>
      <c r="E82" s="6">
        <f t="shared" si="13"/>
        <v>9.3883601154794771E-2</v>
      </c>
      <c r="F82" s="6">
        <f t="shared" si="14"/>
        <v>-0.11711723917388861</v>
      </c>
    </row>
    <row r="83" spans="1:6" x14ac:dyDescent="0.45">
      <c r="A83" s="47">
        <v>42064</v>
      </c>
      <c r="B83" s="5">
        <v>2.85</v>
      </c>
      <c r="C83" s="5">
        <v>53.790000999999997</v>
      </c>
      <c r="D83" s="6">
        <f t="shared" si="12"/>
        <v>0.23913043478260887</v>
      </c>
      <c r="E83" s="6">
        <f t="shared" si="13"/>
        <v>-6.207492805841075E-2</v>
      </c>
      <c r="F83" s="6">
        <f t="shared" si="14"/>
        <v>0.15060268142050981</v>
      </c>
    </row>
    <row r="84" spans="1:6" x14ac:dyDescent="0.45">
      <c r="A84" s="47">
        <v>42036</v>
      </c>
      <c r="B84" s="5">
        <v>2.2999999999999998</v>
      </c>
      <c r="C84" s="5">
        <v>57.349997999999999</v>
      </c>
      <c r="D84" s="6">
        <f t="shared" si="12"/>
        <v>-0.10156250000000011</v>
      </c>
      <c r="E84" s="6">
        <f t="shared" si="13"/>
        <v>8.1055590594827365E-2</v>
      </c>
      <c r="F84" s="6">
        <f t="shared" si="14"/>
        <v>-9.1309045297413738E-2</v>
      </c>
    </row>
    <row r="85" spans="1:6" x14ac:dyDescent="0.45">
      <c r="A85" s="47">
        <v>42005</v>
      </c>
      <c r="B85" s="5">
        <v>2.56</v>
      </c>
      <c r="C85" s="5">
        <v>53.049999</v>
      </c>
      <c r="D85" s="6">
        <f t="shared" si="12"/>
        <v>-3.7593984962406068E-2</v>
      </c>
      <c r="E85" s="6">
        <f t="shared" si="13"/>
        <v>-5.1153657664102958E-2</v>
      </c>
      <c r="F85" s="6">
        <f t="shared" si="14"/>
        <v>6.7798363508484449E-3</v>
      </c>
    </row>
    <row r="86" spans="1:6" x14ac:dyDescent="0.45">
      <c r="A86" s="47">
        <v>41974</v>
      </c>
      <c r="B86" s="5">
        <v>2.66</v>
      </c>
      <c r="C86" s="5">
        <v>55.91</v>
      </c>
      <c r="D86" s="6">
        <f t="shared" si="12"/>
        <v>2.3076923076922995E-2</v>
      </c>
      <c r="E86" s="6">
        <f t="shared" si="13"/>
        <v>-1.7398980056274937E-2</v>
      </c>
      <c r="F86" s="6">
        <f t="shared" si="14"/>
        <v>2.0237951566598966E-2</v>
      </c>
    </row>
    <row r="87" spans="1:6" x14ac:dyDescent="0.45">
      <c r="A87" s="47">
        <v>41944</v>
      </c>
      <c r="B87" s="5">
        <v>2.6</v>
      </c>
      <c r="C87" s="5">
        <v>56.900002000000001</v>
      </c>
      <c r="D87" s="6">
        <f t="shared" si="12"/>
        <v>1.9607843137255054E-2</v>
      </c>
      <c r="E87" s="6">
        <f t="shared" si="13"/>
        <v>8.1337952895057963E-2</v>
      </c>
      <c r="F87" s="6">
        <f t="shared" si="14"/>
        <v>-3.0865054878901454E-2</v>
      </c>
    </row>
    <row r="88" spans="1:6" x14ac:dyDescent="0.45">
      <c r="A88" s="47">
        <v>41913</v>
      </c>
      <c r="B88" s="5">
        <v>2.5499999999999998</v>
      </c>
      <c r="C88" s="5">
        <v>52.619999</v>
      </c>
      <c r="D88" s="6">
        <f t="shared" si="12"/>
        <v>-5.5555555555555691E-2</v>
      </c>
      <c r="E88" s="6">
        <f t="shared" si="13"/>
        <v>1.8188835139318904E-2</v>
      </c>
      <c r="F88" s="6">
        <f t="shared" si="14"/>
        <v>-3.6872195347437298E-2</v>
      </c>
    </row>
    <row r="89" spans="1:6" x14ac:dyDescent="0.45">
      <c r="A89" s="47">
        <v>41883</v>
      </c>
      <c r="B89" s="5">
        <v>2.7</v>
      </c>
      <c r="C89" s="5">
        <v>51.68</v>
      </c>
      <c r="D89" s="6">
        <f t="shared" si="12"/>
        <v>-6.8965517241379226E-2</v>
      </c>
      <c r="E89" s="6">
        <f t="shared" si="13"/>
        <v>-5.1046622310808365E-2</v>
      </c>
      <c r="F89" s="6">
        <f t="shared" si="14"/>
        <v>-8.9594474652854306E-3</v>
      </c>
    </row>
    <row r="90" spans="1:6" x14ac:dyDescent="0.45">
      <c r="A90" s="47">
        <v>41852</v>
      </c>
      <c r="B90" s="5">
        <v>2.9</v>
      </c>
      <c r="C90" s="5">
        <v>54.459999000000003</v>
      </c>
      <c r="D90" s="6">
        <f t="shared" si="12"/>
        <v>-6.8493150684931781E-3</v>
      </c>
      <c r="E90" s="6">
        <f t="shared" si="13"/>
        <v>4.6116953442481012E-3</v>
      </c>
      <c r="F90" s="6">
        <f t="shared" si="14"/>
        <v>-5.7305052063706396E-3</v>
      </c>
    </row>
    <row r="91" spans="1:6" x14ac:dyDescent="0.45">
      <c r="A91" s="47">
        <v>41821</v>
      </c>
      <c r="B91" s="5">
        <v>2.92</v>
      </c>
      <c r="C91" s="5">
        <v>54.209999000000003</v>
      </c>
      <c r="D91" s="6">
        <f t="shared" si="12"/>
        <v>-9.0342679127725867E-2</v>
      </c>
      <c r="E91" s="6">
        <f t="shared" si="13"/>
        <v>-3.2655281358756505E-2</v>
      </c>
      <c r="F91" s="6">
        <f t="shared" si="14"/>
        <v>-2.8843698884484681E-2</v>
      </c>
    </row>
    <row r="92" spans="1:6" x14ac:dyDescent="0.45">
      <c r="A92" s="47">
        <v>41791</v>
      </c>
      <c r="B92" s="5">
        <v>3.21</v>
      </c>
      <c r="C92" s="5">
        <v>56.040000999999997</v>
      </c>
      <c r="D92" s="6">
        <f t="shared" si="12"/>
        <v>-6.956521739130439E-2</v>
      </c>
      <c r="E92" s="6">
        <f t="shared" si="13"/>
        <v>2.6185679798834016E-2</v>
      </c>
      <c r="F92" s="6">
        <f t="shared" si="14"/>
        <v>-4.7875448595069203E-2</v>
      </c>
    </row>
    <row r="93" spans="1:6" x14ac:dyDescent="0.45">
      <c r="A93" s="47">
        <v>41760</v>
      </c>
      <c r="B93" s="5">
        <v>3.45</v>
      </c>
      <c r="C93" s="5">
        <v>54.610000999999997</v>
      </c>
      <c r="D93" s="6">
        <f t="shared" si="12"/>
        <v>-0.14814814814814803</v>
      </c>
      <c r="E93" s="6">
        <f t="shared" si="13"/>
        <v>8.3746816506187871E-2</v>
      </c>
      <c r="F93" s="6">
        <f t="shared" si="14"/>
        <v>-0.11594748232716795</v>
      </c>
    </row>
    <row r="94" spans="1:6" x14ac:dyDescent="0.45">
      <c r="A94" s="47">
        <v>41730</v>
      </c>
      <c r="B94" s="5">
        <v>4.05</v>
      </c>
      <c r="C94" s="5">
        <v>50.389999000000003</v>
      </c>
      <c r="D94" s="6">
        <f t="shared" si="12"/>
        <v>-5.8139534883720922E-2</v>
      </c>
      <c r="E94" s="6">
        <f t="shared" si="13"/>
        <v>-2.7032283702794202E-2</v>
      </c>
      <c r="F94" s="6">
        <f t="shared" si="14"/>
        <v>-1.555362559046336E-2</v>
      </c>
    </row>
    <row r="95" spans="1:6" x14ac:dyDescent="0.45">
      <c r="A95" s="47">
        <v>41699</v>
      </c>
      <c r="B95" s="5">
        <v>4.3</v>
      </c>
      <c r="C95" s="5">
        <v>51.790000999999997</v>
      </c>
      <c r="D95" s="6">
        <f t="shared" si="12"/>
        <v>-0.15019762845849804</v>
      </c>
      <c r="E95" s="6">
        <f t="shared" si="13"/>
        <v>-1.0319147322027655E-2</v>
      </c>
      <c r="F95" s="6">
        <f t="shared" si="14"/>
        <v>-6.9939240568235195E-2</v>
      </c>
    </row>
    <row r="96" spans="1:6" x14ac:dyDescent="0.45">
      <c r="A96" s="47">
        <v>41671</v>
      </c>
      <c r="B96" s="5">
        <v>5.0599999999999996</v>
      </c>
      <c r="C96" s="5">
        <v>52.330002</v>
      </c>
      <c r="D96" s="6">
        <f t="shared" si="12"/>
        <v>0.14999999999999991</v>
      </c>
      <c r="E96" s="6">
        <f t="shared" si="13"/>
        <v>-0.11932003094311783</v>
      </c>
      <c r="F96" s="6">
        <f t="shared" si="14"/>
        <v>0.13466001547155887</v>
      </c>
    </row>
    <row r="97" spans="1:6" x14ac:dyDescent="0.45">
      <c r="A97" s="47">
        <v>41640</v>
      </c>
      <c r="B97" s="5">
        <v>4.4000000000000004</v>
      </c>
      <c r="C97" s="5">
        <v>59.419998</v>
      </c>
      <c r="D97" s="6">
        <f t="shared" si="12"/>
        <v>0.15789473684210531</v>
      </c>
      <c r="E97" s="6">
        <f t="shared" si="13"/>
        <v>3.9901978297199436E-2</v>
      </c>
      <c r="F97" s="6">
        <f t="shared" si="14"/>
        <v>5.8996379272452937E-2</v>
      </c>
    </row>
    <row r="98" spans="1:6" x14ac:dyDescent="0.45">
      <c r="A98" s="47">
        <v>41609</v>
      </c>
      <c r="B98" s="5">
        <v>3.8</v>
      </c>
      <c r="C98" s="5">
        <v>57.139999000000003</v>
      </c>
      <c r="D98" s="6">
        <f t="shared" si="12"/>
        <v>-0.12643678160919536</v>
      </c>
      <c r="E98" s="6">
        <f t="shared" si="13"/>
        <v>4.5754027191691637E-2</v>
      </c>
      <c r="F98" s="6">
        <f t="shared" si="14"/>
        <v>-8.6095404400443498E-2</v>
      </c>
    </row>
    <row r="99" spans="1:6" x14ac:dyDescent="0.45">
      <c r="A99" s="47">
        <v>41579</v>
      </c>
      <c r="B99" s="5">
        <v>4.3499999999999996</v>
      </c>
      <c r="C99" s="5">
        <v>54.639999000000003</v>
      </c>
      <c r="D99" s="6">
        <f t="shared" si="12"/>
        <v>0.21508379888268148</v>
      </c>
      <c r="E99" s="6">
        <f t="shared" si="13"/>
        <v>-4.2411530977715883E-2</v>
      </c>
      <c r="F99" s="6">
        <f t="shared" si="14"/>
        <v>0.12874766493019868</v>
      </c>
    </row>
    <row r="100" spans="1:6" x14ac:dyDescent="0.45">
      <c r="A100" s="47">
        <v>41548</v>
      </c>
      <c r="B100" s="5">
        <v>3.58</v>
      </c>
      <c r="C100" s="5">
        <v>57.060001</v>
      </c>
      <c r="D100" s="6">
        <f t="shared" si="12"/>
        <v>-2.4523160762942697E-2</v>
      </c>
      <c r="E100" s="6">
        <f t="shared" si="13"/>
        <v>0.186278656394123</v>
      </c>
      <c r="F100" s="6">
        <f t="shared" si="14"/>
        <v>-0.10540090857853285</v>
      </c>
    </row>
    <row r="101" spans="1:6" x14ac:dyDescent="0.45">
      <c r="A101" s="47">
        <v>41518</v>
      </c>
      <c r="B101" s="5">
        <v>3.67</v>
      </c>
      <c r="C101" s="5">
        <v>48.099997999999999</v>
      </c>
      <c r="D101" s="6">
        <f t="shared" si="12"/>
        <v>0.29681978798586561</v>
      </c>
      <c r="E101" s="6">
        <f t="shared" si="13"/>
        <v>0.10447759137721224</v>
      </c>
      <c r="F101" s="6">
        <f t="shared" si="14"/>
        <v>9.6171098304326685E-2</v>
      </c>
    </row>
    <row r="102" spans="1:6" x14ac:dyDescent="0.45">
      <c r="A102" s="47">
        <v>41487</v>
      </c>
      <c r="B102" s="5">
        <v>2.83</v>
      </c>
      <c r="C102" s="5">
        <v>43.549999</v>
      </c>
      <c r="D102" s="6">
        <f t="shared" si="12"/>
        <v>-5.0335570469798641E-2</v>
      </c>
      <c r="E102" s="6">
        <f t="shared" si="13"/>
        <v>1.1849395635469495E-2</v>
      </c>
      <c r="F102" s="6">
        <f t="shared" si="14"/>
        <v>-3.1092483052634068E-2</v>
      </c>
    </row>
    <row r="103" spans="1:6" x14ac:dyDescent="0.45">
      <c r="A103" s="47">
        <v>41456</v>
      </c>
      <c r="B103" s="5">
        <v>2.98</v>
      </c>
      <c r="C103" s="5">
        <v>43.040000999999997</v>
      </c>
      <c r="D103" s="6">
        <f t="shared" si="12"/>
        <v>7.1942446043165464E-2</v>
      </c>
      <c r="E103" s="6">
        <f t="shared" si="13"/>
        <v>0.16198703666341685</v>
      </c>
      <c r="F103" s="6">
        <f t="shared" si="14"/>
        <v>-4.5022295310125693E-2</v>
      </c>
    </row>
    <row r="104" spans="1:6" x14ac:dyDescent="0.45">
      <c r="A104" s="47">
        <v>41426</v>
      </c>
      <c r="B104" s="5">
        <v>2.78</v>
      </c>
      <c r="C104" s="5">
        <v>37.040000999999997</v>
      </c>
      <c r="D104" s="6">
        <f t="shared" si="12"/>
        <v>-0.18235294117647061</v>
      </c>
      <c r="E104" s="6">
        <f t="shared" si="13"/>
        <v>3.6083944055943951E-2</v>
      </c>
      <c r="F104" s="6">
        <f t="shared" si="14"/>
        <v>-0.10921844261620728</v>
      </c>
    </row>
    <row r="105" spans="1:6" x14ac:dyDescent="0.45">
      <c r="A105" s="47">
        <v>41395</v>
      </c>
      <c r="B105" s="5">
        <v>3.4</v>
      </c>
      <c r="C105" s="5">
        <v>35.75</v>
      </c>
      <c r="D105" s="6">
        <f t="shared" si="12"/>
        <v>6.5830721003134807E-2</v>
      </c>
      <c r="E105" s="6">
        <f t="shared" si="13"/>
        <v>7.9408245151215029E-2</v>
      </c>
      <c r="F105" s="6">
        <f t="shared" si="14"/>
        <v>-6.7887620740401111E-3</v>
      </c>
    </row>
    <row r="106" spans="1:6" x14ac:dyDescent="0.45">
      <c r="A106" s="47">
        <v>41365</v>
      </c>
      <c r="B106" s="5">
        <v>3.19</v>
      </c>
      <c r="C106" s="5">
        <v>33.119999</v>
      </c>
      <c r="D106" s="6">
        <f t="shared" si="12"/>
        <v>-5.0595238095238027E-2</v>
      </c>
      <c r="E106" s="6">
        <f t="shared" si="13"/>
        <v>-1.1638287773099942E-2</v>
      </c>
      <c r="F106" s="6">
        <f t="shared" si="14"/>
        <v>-1.9478475161069042E-2</v>
      </c>
    </row>
    <row r="107" spans="1:6" x14ac:dyDescent="0.45">
      <c r="A107" s="47">
        <v>41334</v>
      </c>
      <c r="B107" s="5">
        <v>3.36</v>
      </c>
      <c r="C107" s="5">
        <v>33.509998000000003</v>
      </c>
      <c r="D107" s="6">
        <f t="shared" si="12"/>
        <v>-5.9171597633136397E-3</v>
      </c>
      <c r="E107" s="6">
        <f t="shared" si="13"/>
        <v>6.5839597142506534E-2</v>
      </c>
      <c r="F107" s="6">
        <f t="shared" si="14"/>
        <v>-3.5878378452910087E-2</v>
      </c>
    </row>
    <row r="108" spans="1:6" x14ac:dyDescent="0.45">
      <c r="A108" s="47">
        <v>41306</v>
      </c>
      <c r="B108" s="5">
        <v>3.38</v>
      </c>
      <c r="C108" s="5">
        <v>31.440000999999999</v>
      </c>
      <c r="D108" s="6">
        <f t="shared" si="12"/>
        <v>0.24723247232472323</v>
      </c>
      <c r="E108" s="6">
        <f t="shared" si="13"/>
        <v>2.5510203268168663E-3</v>
      </c>
      <c r="F108" s="6">
        <f t="shared" si="14"/>
        <v>0.12234072599895318</v>
      </c>
    </row>
    <row r="109" spans="1:6" x14ac:dyDescent="0.45">
      <c r="A109" s="47">
        <v>41275</v>
      </c>
      <c r="B109" s="5">
        <v>2.71</v>
      </c>
      <c r="C109" s="5">
        <v>31.360001</v>
      </c>
      <c r="D109" s="6">
        <f t="shared" si="12"/>
        <v>0.14830508474576276</v>
      </c>
      <c r="E109" s="6">
        <f t="shared" si="13"/>
        <v>0.13009012612612625</v>
      </c>
      <c r="F109" s="6">
        <f t="shared" si="14"/>
        <v>9.107479309818256E-3</v>
      </c>
    </row>
    <row r="110" spans="1:6" x14ac:dyDescent="0.45">
      <c r="A110" s="47">
        <v>41244</v>
      </c>
      <c r="B110" s="5">
        <v>2.36</v>
      </c>
      <c r="C110" s="5">
        <v>27.75</v>
      </c>
      <c r="D110" s="6">
        <f t="shared" si="12"/>
        <v>-4.065040650406504E-2</v>
      </c>
      <c r="E110" s="6">
        <f t="shared" si="13"/>
        <v>1.3143520012541821E-2</v>
      </c>
      <c r="F110" s="6">
        <f t="shared" si="14"/>
        <v>-2.689696325830343E-2</v>
      </c>
    </row>
    <row r="111" spans="1:6" x14ac:dyDescent="0.45">
      <c r="A111" s="47">
        <v>41214</v>
      </c>
      <c r="B111" s="5">
        <v>2.46</v>
      </c>
      <c r="C111" s="5">
        <v>27.389999</v>
      </c>
      <c r="D111" s="6">
        <f t="shared" si="12"/>
        <v>9.8214285714285587E-2</v>
      </c>
      <c r="E111" s="6">
        <f t="shared" si="13"/>
        <v>3.0861836657884778E-2</v>
      </c>
      <c r="F111" s="6">
        <f t="shared" si="14"/>
        <v>3.3676224528200405E-2</v>
      </c>
    </row>
    <row r="112" spans="1:6" x14ac:dyDescent="0.45">
      <c r="A112" s="47">
        <v>41183</v>
      </c>
      <c r="B112" s="5">
        <v>2.2400000000000002</v>
      </c>
      <c r="C112" s="5">
        <v>26.57</v>
      </c>
      <c r="D112" s="6">
        <f t="shared" si="12"/>
        <v>-0.21126760563380276</v>
      </c>
      <c r="E112" s="6">
        <f t="shared" si="13"/>
        <v>-0.28130918903680857</v>
      </c>
      <c r="F112" s="6">
        <f t="shared" si="14"/>
        <v>3.5020791701502907E-2</v>
      </c>
    </row>
    <row r="113" spans="1:6" x14ac:dyDescent="0.45">
      <c r="A113" s="47">
        <v>41153</v>
      </c>
      <c r="B113" s="5">
        <v>2.84</v>
      </c>
      <c r="C113" s="5">
        <v>36.970001000000003</v>
      </c>
      <c r="D113" s="6">
        <f t="shared" si="12"/>
        <v>1.4285714285714235E-2</v>
      </c>
      <c r="E113" s="6">
        <f t="shared" si="13"/>
        <v>8.8954342004290421E-2</v>
      </c>
      <c r="F113" s="6">
        <f t="shared" si="14"/>
        <v>-3.7334313859288093E-2</v>
      </c>
    </row>
    <row r="114" spans="1:6" x14ac:dyDescent="0.45">
      <c r="A114" s="47">
        <v>41122</v>
      </c>
      <c r="B114" s="5">
        <v>2.8</v>
      </c>
      <c r="C114" s="5">
        <v>33.950001</v>
      </c>
      <c r="D114" s="6">
        <f t="shared" si="12"/>
        <v>-5.0847457627118731E-2</v>
      </c>
      <c r="E114" s="6">
        <f t="shared" si="13"/>
        <v>-2.944051912370238E-4</v>
      </c>
      <c r="F114" s="6">
        <f t="shared" si="14"/>
        <v>-2.5276526217940853E-2</v>
      </c>
    </row>
    <row r="115" spans="1:6" x14ac:dyDescent="0.45">
      <c r="A115" s="47">
        <v>41091</v>
      </c>
      <c r="B115" s="5">
        <v>2.95</v>
      </c>
      <c r="C115" s="5">
        <v>33.959999000000003</v>
      </c>
      <c r="D115" s="6">
        <f t="shared" si="12"/>
        <v>-0.45772058823529416</v>
      </c>
      <c r="E115" s="6">
        <f t="shared" si="13"/>
        <v>1.4943216226635192E-2</v>
      </c>
      <c r="F115" s="6">
        <f t="shared" si="14"/>
        <v>-0.23633190223096467</v>
      </c>
    </row>
    <row r="116" spans="1:6" x14ac:dyDescent="0.45">
      <c r="A116" s="47">
        <v>41061</v>
      </c>
      <c r="B116" s="5">
        <v>5.44</v>
      </c>
      <c r="C116" s="5">
        <v>33.459999000000003</v>
      </c>
      <c r="D116" s="6">
        <f t="shared" si="12"/>
        <v>-0.13099041533546318</v>
      </c>
      <c r="E116" s="6">
        <f t="shared" si="13"/>
        <v>7.1405667627281622E-2</v>
      </c>
      <c r="F116" s="6">
        <f t="shared" si="14"/>
        <v>-0.1011980414813724</v>
      </c>
    </row>
    <row r="117" spans="1:6" x14ac:dyDescent="0.45">
      <c r="A117" s="47">
        <v>41030</v>
      </c>
      <c r="B117" s="5">
        <v>6.26</v>
      </c>
      <c r="C117" s="5">
        <v>31.23</v>
      </c>
      <c r="D117" s="6">
        <f t="shared" si="12"/>
        <v>-0.24940047961630696</v>
      </c>
      <c r="E117" s="6">
        <f t="shared" si="13"/>
        <v>-1.5137149641663461E-2</v>
      </c>
      <c r="F117" s="6">
        <f t="shared" si="14"/>
        <v>-0.11713166498732175</v>
      </c>
    </row>
    <row r="118" spans="1:6" x14ac:dyDescent="0.45">
      <c r="A118" s="47">
        <v>41000</v>
      </c>
      <c r="B118" s="5">
        <v>8.34</v>
      </c>
      <c r="C118" s="5">
        <v>31.709999</v>
      </c>
      <c r="D118" s="6">
        <f t="shared" si="12"/>
        <v>-0.36577946768060843</v>
      </c>
      <c r="E118" s="6">
        <f t="shared" si="13"/>
        <v>0.15099819059884534</v>
      </c>
      <c r="F118" s="6">
        <f t="shared" si="14"/>
        <v>-0.25838882913972688</v>
      </c>
    </row>
    <row r="119" spans="1:6" x14ac:dyDescent="0.45">
      <c r="A119" s="47">
        <v>40969</v>
      </c>
      <c r="B119" s="5">
        <v>13.15</v>
      </c>
      <c r="C119" s="5">
        <v>27.549999</v>
      </c>
      <c r="D119" s="6">
        <f t="shared" si="12"/>
        <v>-1.5186028853454436E-3</v>
      </c>
      <c r="E119" s="6">
        <f t="shared" si="13"/>
        <v>7.575157845561975E-2</v>
      </c>
      <c r="F119" s="6">
        <f t="shared" si="14"/>
        <v>-3.8635090670482597E-2</v>
      </c>
    </row>
    <row r="120" spans="1:6" x14ac:dyDescent="0.45">
      <c r="A120" s="47">
        <v>40940</v>
      </c>
      <c r="B120" s="5">
        <v>13.17</v>
      </c>
      <c r="C120" s="5">
        <v>25.610001</v>
      </c>
      <c r="D120" s="6">
        <f t="shared" si="12"/>
        <v>0.25548141086749276</v>
      </c>
      <c r="E120" s="6">
        <f t="shared" si="13"/>
        <v>8.701197313293596E-2</v>
      </c>
      <c r="F120" s="6">
        <f t="shared" si="14"/>
        <v>8.4234718867278402E-2</v>
      </c>
    </row>
    <row r="121" spans="1:6" x14ac:dyDescent="0.45">
      <c r="A121" s="47">
        <v>40909</v>
      </c>
      <c r="B121" s="5">
        <v>10.49</v>
      </c>
      <c r="C121" s="5">
        <v>23.559999000000001</v>
      </c>
      <c r="D121" s="6"/>
      <c r="E121" s="6"/>
    </row>
    <row r="122" spans="1:6" x14ac:dyDescent="0.45">
      <c r="D122" s="6"/>
      <c r="E122" s="6"/>
    </row>
    <row r="123" spans="1:6" x14ac:dyDescent="0.45">
      <c r="D123" s="6"/>
      <c r="E123" s="6"/>
    </row>
    <row r="124" spans="1:6" x14ac:dyDescent="0.45">
      <c r="D124" s="6"/>
      <c r="E124" s="6"/>
    </row>
    <row r="125" spans="1:6" x14ac:dyDescent="0.45">
      <c r="D125" s="6"/>
      <c r="E125" s="6"/>
    </row>
    <row r="126" spans="1:6" x14ac:dyDescent="0.45">
      <c r="D126" s="6"/>
      <c r="E126" s="6"/>
    </row>
    <row r="127" spans="1:6" x14ac:dyDescent="0.45">
      <c r="D127" s="6"/>
      <c r="E127" s="6"/>
    </row>
    <row r="128" spans="1:6" x14ac:dyDescent="0.45">
      <c r="D128" s="6"/>
      <c r="E128" s="6"/>
    </row>
    <row r="129" spans="4:5" x14ac:dyDescent="0.45">
      <c r="D129" s="6"/>
      <c r="E129" s="6"/>
    </row>
    <row r="130" spans="4:5" x14ac:dyDescent="0.45">
      <c r="D130" s="6"/>
      <c r="E130" s="6"/>
    </row>
    <row r="131" spans="4:5" x14ac:dyDescent="0.45">
      <c r="D131" s="6"/>
      <c r="E131" s="6"/>
    </row>
    <row r="132" spans="4:5" x14ac:dyDescent="0.45">
      <c r="D132" s="6"/>
      <c r="E132" s="6"/>
    </row>
    <row r="133" spans="4:5" x14ac:dyDescent="0.45">
      <c r="D133" s="6"/>
      <c r="E133" s="6"/>
    </row>
    <row r="134" spans="4:5" x14ac:dyDescent="0.45">
      <c r="D134" s="6"/>
      <c r="E134" s="6"/>
    </row>
    <row r="135" spans="4:5" x14ac:dyDescent="0.45">
      <c r="D135" s="6"/>
      <c r="E135" s="6"/>
    </row>
    <row r="136" spans="4:5" x14ac:dyDescent="0.45">
      <c r="D136" s="6"/>
      <c r="E136" s="6"/>
    </row>
    <row r="137" spans="4:5" x14ac:dyDescent="0.45">
      <c r="D137" s="6"/>
      <c r="E137" s="6"/>
    </row>
    <row r="138" spans="4:5" x14ac:dyDescent="0.45">
      <c r="D138" s="6"/>
      <c r="E138" s="6"/>
    </row>
    <row r="139" spans="4:5" x14ac:dyDescent="0.45">
      <c r="D139" s="6"/>
      <c r="E139" s="6"/>
    </row>
    <row r="140" spans="4:5" x14ac:dyDescent="0.45">
      <c r="D140" s="6"/>
      <c r="E140" s="6"/>
    </row>
    <row r="141" spans="4:5" x14ac:dyDescent="0.45">
      <c r="D141" s="6"/>
      <c r="E141" s="6"/>
    </row>
    <row r="142" spans="4:5" x14ac:dyDescent="0.45">
      <c r="D142" s="6"/>
      <c r="E142" s="6"/>
    </row>
    <row r="143" spans="4:5" x14ac:dyDescent="0.45">
      <c r="D143" s="6"/>
      <c r="E143" s="6"/>
    </row>
    <row r="144" spans="4:5" x14ac:dyDescent="0.45">
      <c r="D144" s="6"/>
      <c r="E144" s="6"/>
    </row>
    <row r="145" spans="4:5" x14ac:dyDescent="0.45">
      <c r="D145" s="6"/>
      <c r="E145" s="6"/>
    </row>
    <row r="146" spans="4:5" x14ac:dyDescent="0.45">
      <c r="D146" s="6"/>
      <c r="E146" s="6"/>
    </row>
    <row r="147" spans="4:5" x14ac:dyDescent="0.45">
      <c r="D147" s="6"/>
      <c r="E147" s="6"/>
    </row>
    <row r="148" spans="4:5" x14ac:dyDescent="0.45">
      <c r="D148" s="6"/>
      <c r="E148" s="6"/>
    </row>
    <row r="149" spans="4:5" x14ac:dyDescent="0.45">
      <c r="D149" s="6"/>
      <c r="E149" s="6"/>
    </row>
    <row r="150" spans="4:5" x14ac:dyDescent="0.45">
      <c r="D150" s="6"/>
      <c r="E150" s="6"/>
    </row>
    <row r="151" spans="4:5" x14ac:dyDescent="0.45">
      <c r="D151" s="6"/>
      <c r="E151" s="6"/>
    </row>
    <row r="152" spans="4:5" x14ac:dyDescent="0.45">
      <c r="D152" s="6"/>
      <c r="E152" s="6"/>
    </row>
    <row r="153" spans="4:5" x14ac:dyDescent="0.45">
      <c r="D153" s="6"/>
      <c r="E153" s="6"/>
    </row>
    <row r="154" spans="4:5" x14ac:dyDescent="0.45">
      <c r="D154" s="6"/>
      <c r="E154" s="6"/>
    </row>
    <row r="155" spans="4:5" x14ac:dyDescent="0.45">
      <c r="D155" s="6"/>
      <c r="E155" s="6"/>
    </row>
    <row r="156" spans="4:5" x14ac:dyDescent="0.45">
      <c r="D156" s="6"/>
      <c r="E156" s="6"/>
    </row>
    <row r="157" spans="4:5" x14ac:dyDescent="0.45">
      <c r="D157" s="6"/>
      <c r="E157" s="6"/>
    </row>
    <row r="158" spans="4:5" x14ac:dyDescent="0.45">
      <c r="D158" s="6"/>
      <c r="E158" s="6"/>
    </row>
    <row r="159" spans="4:5" x14ac:dyDescent="0.45">
      <c r="D159" s="6"/>
      <c r="E159" s="6"/>
    </row>
    <row r="160" spans="4:5" x14ac:dyDescent="0.45">
      <c r="D160" s="6"/>
      <c r="E160" s="6"/>
    </row>
    <row r="161" spans="4:5" x14ac:dyDescent="0.45">
      <c r="D161" s="6"/>
      <c r="E161" s="6"/>
    </row>
    <row r="162" spans="4:5" x14ac:dyDescent="0.45">
      <c r="D162" s="6"/>
      <c r="E162" s="6"/>
    </row>
    <row r="163" spans="4:5" x14ac:dyDescent="0.45">
      <c r="D163" s="6"/>
      <c r="E163" s="6"/>
    </row>
    <row r="164" spans="4:5" x14ac:dyDescent="0.45">
      <c r="D164" s="6"/>
      <c r="E164" s="6"/>
    </row>
    <row r="165" spans="4:5" x14ac:dyDescent="0.45">
      <c r="D165" s="6"/>
      <c r="E165" s="6"/>
    </row>
    <row r="166" spans="4:5" x14ac:dyDescent="0.45">
      <c r="D166" s="6"/>
      <c r="E166" s="6"/>
    </row>
    <row r="167" spans="4:5" x14ac:dyDescent="0.45">
      <c r="D167" s="6"/>
      <c r="E167" s="6"/>
    </row>
    <row r="168" spans="4:5" x14ac:dyDescent="0.45">
      <c r="D168" s="6"/>
      <c r="E168" s="6"/>
    </row>
    <row r="169" spans="4:5" x14ac:dyDescent="0.45">
      <c r="D169" s="6"/>
      <c r="E169" s="6"/>
    </row>
    <row r="170" spans="4:5" x14ac:dyDescent="0.45">
      <c r="D170" s="6"/>
      <c r="E170" s="6"/>
    </row>
    <row r="171" spans="4:5" x14ac:dyDescent="0.45">
      <c r="D171" s="6"/>
      <c r="E171" s="6"/>
    </row>
    <row r="172" spans="4:5" x14ac:dyDescent="0.45">
      <c r="D172" s="6"/>
      <c r="E172" s="6"/>
    </row>
    <row r="173" spans="4:5" x14ac:dyDescent="0.45">
      <c r="D173" s="6"/>
      <c r="E173" s="6"/>
    </row>
    <row r="174" spans="4:5" x14ac:dyDescent="0.45">
      <c r="D174" s="6"/>
      <c r="E174" s="6"/>
    </row>
    <row r="175" spans="4:5" x14ac:dyDescent="0.45">
      <c r="D175" s="6"/>
      <c r="E175" s="6"/>
    </row>
    <row r="176" spans="4:5" x14ac:dyDescent="0.45">
      <c r="D176" s="6"/>
      <c r="E176" s="6"/>
    </row>
    <row r="177" spans="4:5" x14ac:dyDescent="0.45">
      <c r="D177" s="6"/>
      <c r="E177" s="6"/>
    </row>
    <row r="178" spans="4:5" x14ac:dyDescent="0.45">
      <c r="D178" s="6"/>
      <c r="E178" s="6"/>
    </row>
    <row r="179" spans="4:5" x14ac:dyDescent="0.45">
      <c r="D179" s="6"/>
      <c r="E179" s="6"/>
    </row>
    <row r="180" spans="4:5" x14ac:dyDescent="0.45">
      <c r="D180" s="6"/>
      <c r="E180" s="6"/>
    </row>
    <row r="181" spans="4:5" x14ac:dyDescent="0.45">
      <c r="D181" s="6"/>
      <c r="E181" s="6"/>
    </row>
    <row r="182" spans="4:5" x14ac:dyDescent="0.45">
      <c r="D182" s="6"/>
      <c r="E182" s="6"/>
    </row>
    <row r="183" spans="4:5" x14ac:dyDescent="0.45">
      <c r="D183" s="6"/>
      <c r="E183" s="6"/>
    </row>
    <row r="184" spans="4:5" x14ac:dyDescent="0.45">
      <c r="D184" s="6"/>
      <c r="E184" s="6"/>
    </row>
    <row r="185" spans="4:5" x14ac:dyDescent="0.45">
      <c r="D185" s="6"/>
      <c r="E185" s="6"/>
    </row>
    <row r="186" spans="4:5" x14ac:dyDescent="0.45">
      <c r="D186" s="6"/>
      <c r="E186" s="6"/>
    </row>
    <row r="187" spans="4:5" x14ac:dyDescent="0.45">
      <c r="D187" s="6"/>
      <c r="E187" s="6"/>
    </row>
    <row r="188" spans="4:5" x14ac:dyDescent="0.45">
      <c r="D188" s="6"/>
      <c r="E188" s="6"/>
    </row>
    <row r="189" spans="4:5" x14ac:dyDescent="0.45">
      <c r="D189" s="6"/>
      <c r="E189" s="6"/>
    </row>
    <row r="190" spans="4:5" x14ac:dyDescent="0.45">
      <c r="D190" s="6"/>
      <c r="E190" s="6"/>
    </row>
    <row r="191" spans="4:5" x14ac:dyDescent="0.45">
      <c r="D191" s="6"/>
      <c r="E191" s="6"/>
    </row>
    <row r="192" spans="4:5" x14ac:dyDescent="0.45">
      <c r="D192" s="6"/>
      <c r="E192" s="6"/>
    </row>
    <row r="193" spans="4:5" x14ac:dyDescent="0.45">
      <c r="D193" s="6"/>
      <c r="E193" s="6"/>
    </row>
    <row r="194" spans="4:5" x14ac:dyDescent="0.45">
      <c r="D194" s="6"/>
      <c r="E194" s="6"/>
    </row>
    <row r="195" spans="4:5" x14ac:dyDescent="0.45">
      <c r="D195" s="6"/>
      <c r="E195" s="6"/>
    </row>
    <row r="196" spans="4:5" x14ac:dyDescent="0.45">
      <c r="D196" s="6"/>
      <c r="E196" s="6"/>
    </row>
    <row r="197" spans="4:5" x14ac:dyDescent="0.45">
      <c r="D197" s="6"/>
      <c r="E197" s="6"/>
    </row>
    <row r="198" spans="4:5" x14ac:dyDescent="0.45">
      <c r="D198" s="6"/>
      <c r="E198" s="6"/>
    </row>
    <row r="199" spans="4:5" x14ac:dyDescent="0.45">
      <c r="D199" s="6"/>
      <c r="E199" s="6"/>
    </row>
    <row r="200" spans="4:5" x14ac:dyDescent="0.45">
      <c r="D200" s="6"/>
      <c r="E200" s="6"/>
    </row>
    <row r="201" spans="4:5" x14ac:dyDescent="0.45">
      <c r="D201" s="6"/>
      <c r="E201" s="6"/>
    </row>
    <row r="202" spans="4:5" x14ac:dyDescent="0.45">
      <c r="D202" s="6"/>
      <c r="E202" s="6"/>
    </row>
    <row r="203" spans="4:5" x14ac:dyDescent="0.45">
      <c r="D203" s="6"/>
      <c r="E203" s="6"/>
    </row>
    <row r="204" spans="4:5" x14ac:dyDescent="0.45">
      <c r="D204" s="6"/>
      <c r="E204" s="6"/>
    </row>
    <row r="205" spans="4:5" x14ac:dyDescent="0.45">
      <c r="D205" s="6"/>
      <c r="E205" s="6"/>
    </row>
    <row r="206" spans="4:5" x14ac:dyDescent="0.45">
      <c r="D206" s="6"/>
      <c r="E206" s="6"/>
    </row>
    <row r="207" spans="4:5" x14ac:dyDescent="0.45">
      <c r="D207" s="6"/>
      <c r="E207" s="6"/>
    </row>
    <row r="208" spans="4:5" x14ac:dyDescent="0.45">
      <c r="D208" s="6"/>
      <c r="E208" s="6"/>
    </row>
    <row r="209" spans="4:5" x14ac:dyDescent="0.45">
      <c r="D209" s="6"/>
      <c r="E209" s="6"/>
    </row>
    <row r="210" spans="4:5" x14ac:dyDescent="0.45">
      <c r="D210" s="6"/>
      <c r="E210" s="6"/>
    </row>
    <row r="211" spans="4:5" x14ac:dyDescent="0.45">
      <c r="D211" s="6"/>
      <c r="E211" s="6"/>
    </row>
    <row r="212" spans="4:5" x14ac:dyDescent="0.45">
      <c r="D212" s="6"/>
      <c r="E212" s="6"/>
    </row>
    <row r="213" spans="4:5" x14ac:dyDescent="0.45">
      <c r="D213" s="6"/>
      <c r="E213" s="6"/>
    </row>
    <row r="214" spans="4:5" x14ac:dyDescent="0.45">
      <c r="D214" s="6"/>
      <c r="E214" s="6"/>
    </row>
    <row r="215" spans="4:5" x14ac:dyDescent="0.45">
      <c r="D215" s="6"/>
      <c r="E215" s="6"/>
    </row>
    <row r="216" spans="4:5" x14ac:dyDescent="0.45">
      <c r="D216" s="6"/>
      <c r="E216" s="6"/>
    </row>
    <row r="217" spans="4:5" x14ac:dyDescent="0.45">
      <c r="D217" s="6"/>
      <c r="E217" s="6"/>
    </row>
    <row r="218" spans="4:5" x14ac:dyDescent="0.45">
      <c r="D218" s="6"/>
      <c r="E218" s="6"/>
    </row>
    <row r="219" spans="4:5" x14ac:dyDescent="0.45">
      <c r="D219" s="6"/>
      <c r="E219" s="6"/>
    </row>
    <row r="220" spans="4:5" x14ac:dyDescent="0.45">
      <c r="D220" s="6"/>
      <c r="E220" s="6"/>
    </row>
    <row r="221" spans="4:5" x14ac:dyDescent="0.45">
      <c r="D221" s="6"/>
      <c r="E221" s="6"/>
    </row>
    <row r="222" spans="4:5" x14ac:dyDescent="0.45">
      <c r="D222" s="6"/>
      <c r="E222" s="6"/>
    </row>
    <row r="223" spans="4:5" x14ac:dyDescent="0.45">
      <c r="D223" s="6"/>
      <c r="E223" s="6"/>
    </row>
    <row r="224" spans="4:5" x14ac:dyDescent="0.45">
      <c r="D224" s="6"/>
      <c r="E224" s="6"/>
    </row>
    <row r="225" spans="4:5" x14ac:dyDescent="0.45">
      <c r="D225" s="6"/>
      <c r="E225" s="6"/>
    </row>
    <row r="226" spans="4:5" x14ac:dyDescent="0.45">
      <c r="D226" s="6"/>
      <c r="E226" s="6"/>
    </row>
    <row r="227" spans="4:5" x14ac:dyDescent="0.45">
      <c r="D227" s="6"/>
      <c r="E227" s="6"/>
    </row>
    <row r="228" spans="4:5" x14ac:dyDescent="0.45">
      <c r="D228" s="6"/>
      <c r="E228" s="6"/>
    </row>
    <row r="229" spans="4:5" x14ac:dyDescent="0.45">
      <c r="D229" s="6"/>
      <c r="E229" s="6"/>
    </row>
    <row r="230" spans="4:5" x14ac:dyDescent="0.45">
      <c r="D230" s="6"/>
      <c r="E230" s="6"/>
    </row>
    <row r="231" spans="4:5" x14ac:dyDescent="0.45">
      <c r="D231" s="6"/>
      <c r="E231" s="6"/>
    </row>
    <row r="232" spans="4:5" x14ac:dyDescent="0.45">
      <c r="D232" s="6"/>
      <c r="E232" s="6"/>
    </row>
    <row r="233" spans="4:5" x14ac:dyDescent="0.45">
      <c r="D233" s="6"/>
      <c r="E233" s="6"/>
    </row>
    <row r="234" spans="4:5" x14ac:dyDescent="0.45">
      <c r="D234" s="6"/>
      <c r="E234" s="6"/>
    </row>
    <row r="235" spans="4:5" x14ac:dyDescent="0.45">
      <c r="D235" s="6"/>
      <c r="E235" s="6"/>
    </row>
    <row r="236" spans="4:5" x14ac:dyDescent="0.45">
      <c r="D236" s="6"/>
      <c r="E236" s="6"/>
    </row>
    <row r="237" spans="4:5" x14ac:dyDescent="0.45">
      <c r="D237" s="6"/>
      <c r="E237" s="6"/>
    </row>
    <row r="238" spans="4:5" x14ac:dyDescent="0.45">
      <c r="D238" s="6"/>
      <c r="E238" s="6"/>
    </row>
    <row r="239" spans="4:5" x14ac:dyDescent="0.45">
      <c r="D239" s="6"/>
      <c r="E239" s="6"/>
    </row>
    <row r="240" spans="4:5" x14ac:dyDescent="0.45">
      <c r="D240" s="6"/>
      <c r="E240" s="6"/>
    </row>
    <row r="241" spans="4:5" x14ac:dyDescent="0.45">
      <c r="D241" s="6"/>
      <c r="E241" s="6"/>
    </row>
    <row r="242" spans="4:5" x14ac:dyDescent="0.45">
      <c r="D242" s="6"/>
      <c r="E242" s="6"/>
    </row>
    <row r="243" spans="4:5" x14ac:dyDescent="0.45">
      <c r="D243" s="6"/>
      <c r="E243" s="6"/>
    </row>
    <row r="244" spans="4:5" x14ac:dyDescent="0.45">
      <c r="D244" s="6"/>
      <c r="E244" s="6"/>
    </row>
    <row r="245" spans="4:5" x14ac:dyDescent="0.45">
      <c r="D245" s="6"/>
      <c r="E245" s="6"/>
    </row>
    <row r="246" spans="4:5" x14ac:dyDescent="0.45">
      <c r="D246" s="6"/>
      <c r="E246" s="6"/>
    </row>
    <row r="247" spans="4:5" x14ac:dyDescent="0.45">
      <c r="D247" s="6"/>
      <c r="E247" s="6"/>
    </row>
    <row r="248" spans="4:5" x14ac:dyDescent="0.45">
      <c r="D248" s="6"/>
      <c r="E248" s="6"/>
    </row>
    <row r="249" spans="4:5" x14ac:dyDescent="0.45">
      <c r="D249" s="6"/>
      <c r="E249" s="6"/>
    </row>
    <row r="250" spans="4:5" x14ac:dyDescent="0.45">
      <c r="D250" s="6"/>
      <c r="E250" s="6"/>
    </row>
    <row r="251" spans="4:5" x14ac:dyDescent="0.45">
      <c r="D251" s="6"/>
      <c r="E251" s="6"/>
    </row>
    <row r="252" spans="4:5" x14ac:dyDescent="0.45">
      <c r="D252" s="6"/>
      <c r="E252" s="6"/>
    </row>
  </sheetData>
  <mergeCells count="2">
    <mergeCell ref="H1:M1"/>
    <mergeCell ref="H42:M4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 Monthly DoR</vt:lpstr>
      <vt:lpstr>Spread Template Monthly 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2020-11-09T08:44:58Z</dcterms:created>
  <dcterms:modified xsi:type="dcterms:W3CDTF">2024-02-27T07:18:49Z</dcterms:modified>
</cp:coreProperties>
</file>