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32142\Desktop\"/>
    </mc:Choice>
  </mc:AlternateContent>
  <xr:revisionPtr revIDLastSave="0" documentId="13_ncr:1_{7859004B-6D8B-4D60-8700-AB9C3BBA1CA0}" xr6:coauthVersionLast="47" xr6:coauthVersionMax="47" xr10:uidLastSave="{00000000-0000-0000-0000-000000000000}"/>
  <bookViews>
    <workbookView xWindow="-98" yWindow="-98" windowWidth="19396" windowHeight="10395" xr2:uid="{29263B64-9B49-45AE-B76E-FF13C2A6A2FE}"/>
  </bookViews>
  <sheets>
    <sheet name="IS" sheetId="1" r:id="rId1"/>
    <sheet name="Volatility" sheetId="7" r:id="rId2"/>
    <sheet name="IV" sheetId="8" r:id="rId3"/>
    <sheet name="Company Guidance" sheetId="6" r:id="rId4"/>
    <sheet name="Cost Structure" sheetId="3" r:id="rId5"/>
    <sheet name="Unit Economics" sheetId="5" r:id="rId6"/>
    <sheet name="FCF" sheetId="4" r:id="rId7"/>
    <sheet name="Valuation" sheetId="2" r:id="rId8"/>
    <sheet name="EPS Revision &amp; Performance" sheetId="9" r:id="rId9"/>
  </sheets>
  <externalReferences>
    <externalReference r:id="rId10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9" i="7" l="1"/>
  <c r="K60" i="7"/>
  <c r="K64" i="7" s="1"/>
  <c r="K63" i="7"/>
  <c r="H252" i="7"/>
  <c r="H112" i="7"/>
  <c r="H111" i="7"/>
  <c r="G111" i="7"/>
  <c r="H110" i="7"/>
  <c r="G110" i="7"/>
  <c r="H109" i="7"/>
  <c r="G109" i="7"/>
  <c r="H108" i="7"/>
  <c r="G108" i="7"/>
  <c r="H107" i="7"/>
  <c r="G107" i="7"/>
  <c r="H106" i="7"/>
  <c r="G106" i="7"/>
  <c r="H105" i="7"/>
  <c r="G105" i="7"/>
  <c r="H104" i="7"/>
  <c r="G104" i="7"/>
  <c r="H103" i="7"/>
  <c r="G103" i="7"/>
  <c r="H102" i="7"/>
  <c r="G102" i="7"/>
  <c r="H101" i="7"/>
  <c r="G101" i="7"/>
  <c r="H100" i="7"/>
  <c r="G100" i="7"/>
  <c r="H99" i="7"/>
  <c r="G99" i="7"/>
  <c r="H98" i="7"/>
  <c r="G98" i="7"/>
  <c r="H97" i="7"/>
  <c r="G97" i="7"/>
  <c r="H96" i="7"/>
  <c r="G96" i="7"/>
  <c r="H95" i="7"/>
  <c r="G95" i="7"/>
  <c r="H94" i="7"/>
  <c r="G94" i="7"/>
  <c r="H93" i="7"/>
  <c r="G93" i="7"/>
  <c r="H92" i="7"/>
  <c r="G92" i="7"/>
  <c r="H91" i="7"/>
  <c r="G91" i="7"/>
  <c r="H90" i="7"/>
  <c r="G90" i="7"/>
  <c r="H89" i="7"/>
  <c r="G89" i="7"/>
  <c r="H88" i="7"/>
  <c r="G88" i="7"/>
  <c r="H87" i="7"/>
  <c r="G87" i="7"/>
  <c r="H86" i="7"/>
  <c r="G86" i="7"/>
  <c r="H85" i="7"/>
  <c r="G85" i="7"/>
  <c r="H84" i="7"/>
  <c r="G84" i="7"/>
  <c r="H83" i="7"/>
  <c r="G83" i="7"/>
  <c r="H82" i="7"/>
  <c r="G82" i="7"/>
  <c r="H81" i="7"/>
  <c r="G81" i="7"/>
  <c r="H80" i="7"/>
  <c r="G80" i="7"/>
  <c r="H79" i="7"/>
  <c r="G79" i="7"/>
  <c r="H78" i="7"/>
  <c r="G78" i="7"/>
  <c r="H77" i="7"/>
  <c r="G77" i="7"/>
  <c r="H76" i="7"/>
  <c r="G76" i="7"/>
  <c r="H75" i="7"/>
  <c r="G75" i="7"/>
  <c r="H74" i="7"/>
  <c r="G74" i="7"/>
  <c r="H73" i="7"/>
  <c r="G73" i="7"/>
  <c r="H72" i="7"/>
  <c r="G72" i="7"/>
  <c r="H71" i="7"/>
  <c r="G71" i="7"/>
  <c r="H70" i="7"/>
  <c r="G70" i="7"/>
  <c r="H69" i="7"/>
  <c r="G69" i="7"/>
  <c r="H68" i="7"/>
  <c r="G68" i="7"/>
  <c r="H67" i="7"/>
  <c r="G67" i="7"/>
  <c r="H66" i="7"/>
  <c r="G66" i="7"/>
  <c r="H65" i="7"/>
  <c r="G65" i="7"/>
  <c r="H64" i="7"/>
  <c r="G64" i="7"/>
  <c r="H63" i="7"/>
  <c r="G63" i="7"/>
  <c r="H62" i="7"/>
  <c r="G62" i="7"/>
  <c r="H61" i="7"/>
  <c r="G61" i="7"/>
  <c r="H60" i="7"/>
  <c r="G60" i="7"/>
  <c r="H59" i="7"/>
  <c r="G59" i="7"/>
  <c r="H58" i="7"/>
  <c r="G58" i="7"/>
  <c r="H57" i="7"/>
  <c r="G57" i="7"/>
  <c r="H56" i="7"/>
  <c r="G56" i="7"/>
  <c r="H55" i="7"/>
  <c r="G55" i="7"/>
  <c r="H54" i="7"/>
  <c r="G54" i="7"/>
  <c r="H53" i="7"/>
  <c r="G53" i="7"/>
  <c r="H52" i="7"/>
  <c r="G52" i="7"/>
  <c r="H51" i="7"/>
  <c r="G51" i="7"/>
  <c r="H50" i="7"/>
  <c r="G50" i="7"/>
  <c r="H49" i="7"/>
  <c r="G49" i="7"/>
  <c r="H48" i="7"/>
  <c r="G48" i="7"/>
  <c r="H47" i="7"/>
  <c r="G47" i="7"/>
  <c r="H46" i="7"/>
  <c r="G46" i="7"/>
  <c r="H45" i="7"/>
  <c r="G45" i="7"/>
  <c r="H44" i="7"/>
  <c r="G44" i="7"/>
  <c r="H43" i="7"/>
  <c r="G43" i="7"/>
  <c r="H42" i="7"/>
  <c r="G42" i="7"/>
  <c r="H41" i="7"/>
  <c r="G41" i="7"/>
  <c r="H40" i="7"/>
  <c r="G40" i="7"/>
  <c r="H39" i="7"/>
  <c r="G39" i="7"/>
  <c r="H38" i="7"/>
  <c r="G38" i="7"/>
  <c r="H37" i="7"/>
  <c r="G37" i="7"/>
  <c r="L36" i="7"/>
  <c r="H36" i="7"/>
  <c r="G36" i="7"/>
  <c r="K35" i="7"/>
  <c r="H35" i="7"/>
  <c r="G35" i="7"/>
  <c r="H34" i="7"/>
  <c r="G34" i="7"/>
  <c r="H33" i="7"/>
  <c r="G33" i="7"/>
  <c r="H32" i="7"/>
  <c r="G32" i="7"/>
  <c r="H31" i="7"/>
  <c r="G31" i="7"/>
  <c r="H30" i="7"/>
  <c r="G30" i="7"/>
  <c r="H29" i="7"/>
  <c r="G29" i="7"/>
  <c r="H28" i="7"/>
  <c r="G28" i="7"/>
  <c r="H27" i="7"/>
  <c r="G27" i="7"/>
  <c r="H26" i="7"/>
  <c r="G26" i="7"/>
  <c r="H25" i="7"/>
  <c r="G25" i="7"/>
  <c r="H24" i="7"/>
  <c r="G24" i="7"/>
  <c r="H23" i="7"/>
  <c r="G23" i="7"/>
  <c r="K22" i="7"/>
  <c r="H22" i="7"/>
  <c r="G22" i="7"/>
  <c r="H21" i="7"/>
  <c r="G21" i="7"/>
  <c r="H20" i="7"/>
  <c r="G20" i="7"/>
  <c r="H19" i="7"/>
  <c r="G19" i="7"/>
  <c r="H18" i="7"/>
  <c r="G18" i="7"/>
  <c r="H17" i="7"/>
  <c r="G17" i="7"/>
  <c r="H16" i="7"/>
  <c r="G16" i="7"/>
  <c r="H15" i="7"/>
  <c r="G15" i="7"/>
  <c r="H14" i="7"/>
  <c r="G14" i="7"/>
  <c r="H13" i="7"/>
  <c r="G13" i="7"/>
  <c r="H12" i="7"/>
  <c r="G12" i="7"/>
  <c r="H11" i="7"/>
  <c r="G11" i="7"/>
  <c r="H10" i="7"/>
  <c r="G10" i="7"/>
  <c r="H9" i="7"/>
  <c r="G9" i="7"/>
  <c r="H8" i="7"/>
  <c r="G8" i="7"/>
  <c r="H7" i="7"/>
  <c r="G7" i="7"/>
  <c r="H6" i="7"/>
  <c r="G6" i="7"/>
  <c r="H5" i="7"/>
  <c r="G5" i="7"/>
  <c r="H4" i="7"/>
  <c r="G4" i="7"/>
  <c r="K50" i="7" s="1"/>
  <c r="H3" i="7"/>
  <c r="G3" i="7"/>
  <c r="H2" i="7"/>
  <c r="G2" i="7"/>
  <c r="O57" i="7" s="1"/>
  <c r="K34" i="7" l="1"/>
  <c r="O44" i="7"/>
  <c r="K54" i="7"/>
  <c r="M44" i="7"/>
  <c r="K23" i="7"/>
  <c r="K51" i="7"/>
  <c r="M54" i="7"/>
  <c r="K48" i="7"/>
  <c r="M51" i="7"/>
  <c r="O54" i="7"/>
  <c r="O47" i="7"/>
  <c r="K28" i="7"/>
  <c r="K29" i="7"/>
  <c r="K27" i="7" s="1"/>
  <c r="K45" i="7"/>
  <c r="M48" i="7"/>
  <c r="O51" i="7"/>
  <c r="K24" i="7"/>
  <c r="M45" i="7"/>
  <c r="O48" i="7"/>
  <c r="L34" i="7"/>
  <c r="O45" i="7"/>
  <c r="K55" i="7"/>
  <c r="M55" i="7"/>
  <c r="O55" i="7"/>
  <c r="O52" i="7"/>
  <c r="O49" i="7"/>
  <c r="K25" i="7"/>
  <c r="K20" i="7"/>
  <c r="M49" i="7"/>
  <c r="M46" i="7"/>
  <c r="K26" i="7"/>
  <c r="M43" i="7"/>
  <c r="O46" i="7"/>
  <c r="K56" i="7"/>
  <c r="L35" i="7"/>
  <c r="K49" i="7"/>
  <c r="M52" i="7"/>
  <c r="K46" i="7"/>
  <c r="K31" i="7"/>
  <c r="M36" i="7" s="1"/>
  <c r="N36" i="7" s="1"/>
  <c r="K43" i="7"/>
  <c r="K21" i="7"/>
  <c r="O43" i="7"/>
  <c r="K53" i="7"/>
  <c r="O56" i="7"/>
  <c r="K30" i="7"/>
  <c r="K52" i="7"/>
  <c r="M53" i="7"/>
  <c r="K47" i="7"/>
  <c r="M50" i="7"/>
  <c r="O53" i="7"/>
  <c r="K44" i="7"/>
  <c r="M47" i="7"/>
  <c r="O50" i="7"/>
  <c r="K57" i="7"/>
  <c r="L40" i="7" l="1"/>
  <c r="L39" i="7"/>
  <c r="K40" i="7"/>
  <c r="M40" i="7" s="1"/>
  <c r="N40" i="7" s="1"/>
  <c r="J13" i="7"/>
  <c r="J11" i="7"/>
  <c r="J9" i="7"/>
  <c r="J7" i="7"/>
  <c r="J5" i="7"/>
  <c r="K39" i="7"/>
  <c r="M39" i="7" s="1"/>
  <c r="N39" i="7" s="1"/>
  <c r="L41" i="7"/>
  <c r="J8" i="7"/>
  <c r="J14" i="7"/>
  <c r="J10" i="7"/>
  <c r="J4" i="7"/>
  <c r="J12" i="7"/>
  <c r="J6" i="7"/>
  <c r="K41" i="7"/>
  <c r="M35" i="7"/>
  <c r="N35" i="7" s="1"/>
  <c r="M34" i="7"/>
  <c r="N34" i="7" s="1"/>
  <c r="L5" i="7" l="1"/>
  <c r="N5" i="7" s="1"/>
  <c r="K5" i="7"/>
  <c r="M6" i="7"/>
  <c r="M7" i="7"/>
  <c r="L6" i="7"/>
  <c r="N6" i="7" s="1"/>
  <c r="K6" i="7"/>
  <c r="M11" i="7"/>
  <c r="L10" i="7"/>
  <c r="N10" i="7" s="1"/>
  <c r="K10" i="7"/>
  <c r="L7" i="7"/>
  <c r="N7" i="7" s="1"/>
  <c r="K7" i="7"/>
  <c r="M8" i="7"/>
  <c r="M5" i="7"/>
  <c r="L4" i="7"/>
  <c r="N4" i="7" s="1"/>
  <c r="O4" i="7" s="1"/>
  <c r="M4" i="7"/>
  <c r="K4" i="7"/>
  <c r="L9" i="7"/>
  <c r="N9" i="7" s="1"/>
  <c r="K9" i="7"/>
  <c r="M10" i="7"/>
  <c r="L11" i="7"/>
  <c r="N11" i="7" s="1"/>
  <c r="K11" i="7"/>
  <c r="M12" i="7"/>
  <c r="M13" i="7"/>
  <c r="L12" i="7"/>
  <c r="N12" i="7" s="1"/>
  <c r="K12" i="7"/>
  <c r="M9" i="7"/>
  <c r="L8" i="7"/>
  <c r="N8" i="7" s="1"/>
  <c r="K8" i="7"/>
  <c r="L13" i="7"/>
  <c r="N13" i="7" s="1"/>
  <c r="K13" i="7"/>
  <c r="M14" i="7"/>
  <c r="M15" i="7"/>
  <c r="L15" i="7"/>
  <c r="N15" i="7" s="1"/>
  <c r="L14" i="7"/>
  <c r="N14" i="7" s="1"/>
  <c r="K14" i="7"/>
  <c r="M41" i="7"/>
  <c r="N41" i="7" s="1"/>
  <c r="O5" i="7" l="1"/>
  <c r="O6" i="7" s="1"/>
  <c r="O7" i="7" s="1"/>
  <c r="O8" i="7" s="1"/>
  <c r="O9" i="7" s="1"/>
  <c r="O10" i="7" s="1"/>
  <c r="O11" i="7" s="1"/>
  <c r="O12" i="7" s="1"/>
  <c r="O13" i="7" s="1"/>
  <c r="O14" i="7" s="1"/>
  <c r="O15" i="7" s="1"/>
  <c r="L8" i="2" l="1"/>
  <c r="L5" i="2"/>
  <c r="B15" i="5"/>
  <c r="B14" i="5"/>
  <c r="B13" i="5"/>
  <c r="B12" i="5"/>
  <c r="B11" i="5"/>
  <c r="B10" i="5"/>
  <c r="L11" i="1"/>
  <c r="C5" i="5"/>
  <c r="D5" i="5"/>
  <c r="E5" i="5"/>
  <c r="F5" i="5"/>
  <c r="G5" i="5"/>
  <c r="H5" i="5"/>
  <c r="I5" i="5"/>
  <c r="J5" i="5"/>
  <c r="K5" i="5"/>
  <c r="B5" i="5"/>
  <c r="C26" i="1"/>
  <c r="D26" i="1"/>
  <c r="E26" i="1"/>
  <c r="F26" i="1"/>
  <c r="G26" i="1"/>
  <c r="H26" i="1"/>
  <c r="I26" i="1"/>
  <c r="J26" i="1"/>
  <c r="K26" i="1"/>
  <c r="B26" i="1"/>
  <c r="K8" i="1"/>
  <c r="K12" i="1"/>
  <c r="K11" i="1"/>
  <c r="J11" i="1"/>
  <c r="I11" i="1"/>
  <c r="H11" i="1"/>
  <c r="G11" i="1"/>
  <c r="F11" i="1"/>
  <c r="E11" i="1"/>
  <c r="D11" i="1"/>
  <c r="C11" i="1"/>
  <c r="D7" i="1"/>
  <c r="E7" i="1"/>
  <c r="F7" i="1"/>
  <c r="G7" i="1"/>
  <c r="H7" i="1"/>
  <c r="I7" i="1"/>
  <c r="J7" i="1"/>
  <c r="K7" i="1"/>
  <c r="C7" i="1"/>
  <c r="B10" i="1"/>
  <c r="C10" i="1"/>
  <c r="D10" i="1"/>
  <c r="E10" i="1"/>
  <c r="F10" i="1"/>
  <c r="G10" i="1"/>
  <c r="H10" i="1"/>
  <c r="I10" i="1"/>
  <c r="J10" i="1"/>
  <c r="K10" i="1"/>
  <c r="B6" i="1"/>
  <c r="C6" i="1"/>
  <c r="D6" i="1"/>
  <c r="E6" i="1"/>
  <c r="F6" i="1"/>
  <c r="G6" i="1"/>
  <c r="H6" i="1"/>
  <c r="I6" i="1"/>
  <c r="J6" i="1"/>
  <c r="K6" i="1"/>
  <c r="C24" i="1"/>
  <c r="D24" i="1"/>
  <c r="E24" i="1"/>
  <c r="F24" i="1"/>
  <c r="G24" i="1"/>
  <c r="H24" i="1"/>
  <c r="I24" i="1"/>
  <c r="J24" i="1"/>
  <c r="K24" i="1"/>
  <c r="B24" i="1"/>
  <c r="D47" i="1"/>
  <c r="E47" i="1"/>
  <c r="F47" i="1"/>
  <c r="G47" i="1"/>
  <c r="H47" i="1"/>
  <c r="I47" i="1"/>
  <c r="J47" i="1"/>
  <c r="K47" i="1"/>
  <c r="L47" i="1"/>
  <c r="M47" i="1"/>
  <c r="N47" i="1"/>
  <c r="C47" i="1"/>
  <c r="C18" i="1"/>
  <c r="D18" i="1"/>
  <c r="E18" i="1"/>
  <c r="F18" i="1"/>
  <c r="G18" i="1"/>
  <c r="H18" i="1"/>
  <c r="I18" i="1"/>
  <c r="J18" i="1"/>
  <c r="K18" i="1"/>
  <c r="B1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夏瑞泽</author>
  </authors>
  <commentList>
    <comment ref="K7" authorId="0" shapeId="0" xr:uid="{5E83527D-8374-4796-83B0-5244162BC1C5}">
      <text>
        <r>
          <rPr>
            <b/>
            <sz val="9"/>
            <color indexed="81"/>
            <rFont val="宋体"/>
            <charset val="134"/>
          </rPr>
          <t>夏瑞泽:</t>
        </r>
        <r>
          <rPr>
            <sz val="9"/>
            <color indexed="81"/>
            <rFont val="宋体"/>
            <charset val="134"/>
          </rPr>
          <t xml:space="preserve">
Driven by increase in 41 new shacks, and class 2022 open for a full year</t>
        </r>
      </text>
    </comment>
    <comment ref="K10" authorId="0" shapeId="0" xr:uid="{57CE807B-9852-44CA-A4F9-4425421A416F}">
      <text>
        <r>
          <rPr>
            <b/>
            <sz val="9"/>
            <color indexed="81"/>
            <rFont val="宋体"/>
            <charset val="134"/>
          </rPr>
          <t>夏瑞泽:</t>
        </r>
        <r>
          <rPr>
            <sz val="9"/>
            <color indexed="81"/>
            <rFont val="宋体"/>
            <charset val="134"/>
          </rPr>
          <t xml:space="preserve">
increase in shares of Licensing Revenue, continuous momentum for gross profit margin</t>
        </r>
      </text>
    </comment>
    <comment ref="K11" authorId="0" shapeId="0" xr:uid="{C71E503A-258B-4201-A4C6-D636F624C18A}">
      <text>
        <r>
          <rPr>
            <b/>
            <sz val="9"/>
            <color indexed="81"/>
            <rFont val="宋体"/>
            <charset val="134"/>
          </rPr>
          <t>夏瑞泽:</t>
        </r>
        <r>
          <rPr>
            <sz val="9"/>
            <color indexed="81"/>
            <rFont val="宋体"/>
            <charset val="134"/>
          </rPr>
          <t xml:space="preserve">
Driven by 41 new Shacks</t>
        </r>
      </text>
    </comment>
    <comment ref="A26" authorId="0" shapeId="0" xr:uid="{8662E32F-AD27-469C-9415-28208DC37588}">
      <text>
        <r>
          <rPr>
            <b/>
            <sz val="9"/>
            <color indexed="81"/>
            <rFont val="宋体"/>
            <charset val="134"/>
          </rPr>
          <t>夏瑞泽:</t>
        </r>
        <r>
          <rPr>
            <sz val="9"/>
            <color indexed="81"/>
            <rFont val="宋体"/>
            <charset val="134"/>
          </rPr>
          <t xml:space="preserve">
primary concern of the business</t>
        </r>
      </text>
    </comment>
  </commentList>
</comments>
</file>

<file path=xl/sharedStrings.xml><?xml version="1.0" encoding="utf-8"?>
<sst xmlns="http://schemas.openxmlformats.org/spreadsheetml/2006/main" count="242" uniqueCount="185">
  <si>
    <t>Fiscal Years</t>
  </si>
  <si>
    <t>FY 2014</t>
  </si>
  <si>
    <t>FY 2015</t>
  </si>
  <si>
    <t>FY 2016</t>
  </si>
  <si>
    <t>FY 2017</t>
  </si>
  <si>
    <t>FY 2018</t>
  </si>
  <si>
    <t>FY 2019</t>
  </si>
  <si>
    <t>FY 2020</t>
  </si>
  <si>
    <t>FY 2021</t>
  </si>
  <si>
    <t>FY 2022</t>
  </si>
  <si>
    <t>FY 2023</t>
  </si>
  <si>
    <t>Revenues</t>
  </si>
  <si>
    <t>Total Revenues</t>
  </si>
  <si>
    <t>-</t>
  </si>
  <si>
    <t>Total Revenues / CAGR 1Y</t>
  </si>
  <si>
    <t>Gross Profit</t>
  </si>
  <si>
    <t>Cost Of Revenues</t>
  </si>
  <si>
    <t>Gross Profit / CAGR 1Y</t>
  </si>
  <si>
    <t>Operating Income &amp; Expenses</t>
  </si>
  <si>
    <t>Selling General &amp; Admin Expenses (Summary Subtotal)</t>
  </si>
  <si>
    <t>Depreciation &amp; Amortization - (IS)</t>
  </si>
  <si>
    <t>Other Operating Expenses</t>
  </si>
  <si>
    <t>Operating Income</t>
  </si>
  <si>
    <t>Net Interest Expense</t>
  </si>
  <si>
    <t>Net Interest Expenses</t>
  </si>
  <si>
    <t>Interest Expense / Total</t>
  </si>
  <si>
    <t>Interest And Investment Income</t>
  </si>
  <si>
    <t>Earnings Before Taxes (EBT)</t>
  </si>
  <si>
    <t>Other Non Operating Income (Expenses)</t>
  </si>
  <si>
    <t>EBT / Excl. Unusual Items</t>
  </si>
  <si>
    <t>Gain (Loss) On Sale Of Assets</t>
  </si>
  <si>
    <t>Gain (Loss) On Sale Of Investments</t>
  </si>
  <si>
    <t>Other Unusual Items / Total</t>
  </si>
  <si>
    <t>EBT / Incl. Unusual Items</t>
  </si>
  <si>
    <t>Earnings from Operations | Net Income</t>
  </si>
  <si>
    <t>Income Tax Expense</t>
  </si>
  <si>
    <t>Earnings From Continuing Operations</t>
  </si>
  <si>
    <t>Minority Interest (Income Statement)</t>
  </si>
  <si>
    <t>Net Income - (IS)</t>
  </si>
  <si>
    <t>Supplemental Items</t>
  </si>
  <si>
    <t>Total Revenues (As Reported)</t>
  </si>
  <si>
    <t>EBITDA</t>
  </si>
  <si>
    <t>EBITA</t>
  </si>
  <si>
    <t>EBIT</t>
  </si>
  <si>
    <t>Effective Tax Rate - (Ratio)</t>
  </si>
  <si>
    <t>Normalized Net Income</t>
  </si>
  <si>
    <t xml:space="preserve"> </t>
  </si>
  <si>
    <t>Gross Profit Margin</t>
  </si>
  <si>
    <t>EPS Adj.</t>
  </si>
  <si>
    <t>2024E</t>
  </si>
  <si>
    <t>2025E</t>
  </si>
  <si>
    <t>2026E</t>
  </si>
  <si>
    <t>CAGR 1Y</t>
  </si>
  <si>
    <t>% Sales</t>
  </si>
  <si>
    <t>High</t>
  </si>
  <si>
    <t>Return on Invested Capital (ROIC)</t>
  </si>
  <si>
    <t>Return on Assets (ROA) %</t>
  </si>
  <si>
    <t>Return On Equity %</t>
  </si>
  <si>
    <t>Net Debt / EBITDA</t>
  </si>
  <si>
    <t>Currently Below 3, healthy</t>
  </si>
  <si>
    <t xml:space="preserve">          Shack Sales</t>
  </si>
  <si>
    <t xml:space="preserve">          Licensing Revenue</t>
  </si>
  <si>
    <t xml:space="preserve">          % Sales</t>
  </si>
  <si>
    <t xml:space="preserve">          CAGR 1Y</t>
  </si>
  <si>
    <t>CAGR</t>
  </si>
  <si>
    <t xml:space="preserve">           Operating Profit Margin</t>
  </si>
  <si>
    <t>Shack-level operating expenses(1):</t>
  </si>
  <si>
    <t>Food and paper costs</t>
  </si>
  <si>
    <t>Labor and related expenses</t>
  </si>
  <si>
    <t>Other operating expenses(2)</t>
  </si>
  <si>
    <t>Occupancy and related expenses</t>
  </si>
  <si>
    <t>General and administrative expenses(2)</t>
  </si>
  <si>
    <t>Depreciation and amortization expense</t>
  </si>
  <si>
    <t>Pre-opening costs</t>
  </si>
  <si>
    <t>Impairment and loss on disposal of assets</t>
  </si>
  <si>
    <t>TOTAL EXPENSES</t>
  </si>
  <si>
    <t>Footnote: % Sales is expected to decrease continuously, due to increase in labor efficiency</t>
  </si>
  <si>
    <t>Summary: Expect the operating margin to grow continuously in 2024</t>
  </si>
  <si>
    <t>Analysts Estimate:</t>
  </si>
  <si>
    <t>EBIT Margin</t>
  </si>
  <si>
    <t>2027E</t>
  </si>
  <si>
    <t xml:space="preserve">footnote: % Sales is expected to decrease continuously, due to the decreasing commodity costs in 2024 </t>
  </si>
  <si>
    <t>Cash from Operations</t>
  </si>
  <si>
    <t>Capital Expenditure</t>
  </si>
  <si>
    <t>Free Cash Flow</t>
  </si>
  <si>
    <t>*Analyst Esimates from Koyfin</t>
  </si>
  <si>
    <t>System-wide Shack Count</t>
  </si>
  <si>
    <t>Count</t>
  </si>
  <si>
    <t>Sales</t>
  </si>
  <si>
    <t xml:space="preserve">    Count</t>
  </si>
  <si>
    <t>Sales per Shack Gradually Recovering After the Pandemic</t>
  </si>
  <si>
    <t>Footnote:</t>
  </si>
  <si>
    <t>The company expect LDD % inflationary Outlook for Beef in Q1</t>
  </si>
  <si>
    <t>Note:</t>
  </si>
  <si>
    <t>LSD%</t>
  </si>
  <si>
    <t>For 2024</t>
  </si>
  <si>
    <t xml:space="preserve">Count </t>
  </si>
  <si>
    <t>unit</t>
  </si>
  <si>
    <t>Formulated Revenue</t>
  </si>
  <si>
    <t>Official Guidance</t>
  </si>
  <si>
    <t>%</t>
  </si>
  <si>
    <t>Analyst Est.</t>
  </si>
  <si>
    <t>Current Price</t>
  </si>
  <si>
    <t>Mean Value</t>
  </si>
  <si>
    <t>upside：</t>
  </si>
  <si>
    <t>Date</t>
  </si>
  <si>
    <t>Open</t>
  </si>
  <si>
    <t>Low</t>
  </si>
  <si>
    <t>Close</t>
  </si>
  <si>
    <t>Adj Close</t>
  </si>
  <si>
    <t>C-C Returns</t>
  </si>
  <si>
    <t>H-L Returns</t>
  </si>
  <si>
    <t>Adjusted Close to Adjusted Close Monthly Returns</t>
  </si>
  <si>
    <t>Intervals</t>
  </si>
  <si>
    <t>Bin</t>
  </si>
  <si>
    <t>Frequency</t>
  </si>
  <si>
    <t>Range</t>
  </si>
  <si>
    <t>Probability</t>
  </si>
  <si>
    <t>Cumulative Percentage</t>
  </si>
  <si>
    <t>More</t>
  </si>
  <si>
    <t>Descriptive Statistics</t>
  </si>
  <si>
    <t>Mean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</si>
  <si>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</si>
  <si>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</si>
  <si>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</si>
  <si>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</si>
  <si>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</si>
  <si>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</si>
  <si>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</si>
  <si>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Minimum</t>
  </si>
  <si>
    <t>Maximum</t>
  </si>
  <si>
    <t>Sum</t>
  </si>
  <si>
    <t>Average Returns</t>
  </si>
  <si>
    <t>Frequency %</t>
  </si>
  <si>
    <t>Frequency Adjusted Return</t>
  </si>
  <si>
    <t>Positive Data Points</t>
  </si>
  <si>
    <t>Negative Data Points</t>
  </si>
  <si>
    <t>Zero</t>
  </si>
  <si>
    <t>Std Dev</t>
  </si>
  <si>
    <t>Upper Bound</t>
  </si>
  <si>
    <t>Lower Bound</t>
  </si>
  <si>
    <t>Actual Count</t>
  </si>
  <si>
    <t>Actual % Count</t>
  </si>
  <si>
    <t>Normal % Count</t>
  </si>
  <si>
    <t>Percentiles</t>
  </si>
  <si>
    <t>Stop %</t>
  </si>
  <si>
    <t>Target %</t>
  </si>
  <si>
    <t>Stop Price</t>
  </si>
  <si>
    <t>Target Price</t>
  </si>
  <si>
    <t>Shake Shack Inc</t>
  </si>
  <si>
    <t>Last: 103.75</t>
  </si>
  <si>
    <t>Change:  -0.89</t>
  </si>
  <si>
    <t>Bid: 103.5</t>
  </si>
  <si>
    <t>Ask: 103.75</t>
  </si>
  <si>
    <t>Size: 1*1</t>
  </si>
  <si>
    <t>Volume: 790,800</t>
  </si>
  <si>
    <t>Expiration Date</t>
  </si>
  <si>
    <t>Calls</t>
  </si>
  <si>
    <t>Last Sale</t>
  </si>
  <si>
    <t>Net</t>
  </si>
  <si>
    <t>Bid</t>
  </si>
  <si>
    <t>Ask</t>
  </si>
  <si>
    <t>Volume</t>
  </si>
  <si>
    <t>IV</t>
  </si>
  <si>
    <t>Delta</t>
  </si>
  <si>
    <t>Gamma</t>
  </si>
  <si>
    <t>Open Interest</t>
  </si>
  <si>
    <t>Strike</t>
  </si>
  <si>
    <t>Puts</t>
  </si>
  <si>
    <t>Fri Jan 17 2025</t>
  </si>
  <si>
    <t>SHAK250117C00095000</t>
  </si>
  <si>
    <t>SHAK250117P00095000</t>
  </si>
  <si>
    <t>SHAK250117C00097500</t>
  </si>
  <si>
    <t>SHAK250117P00097500</t>
  </si>
  <si>
    <t>SHAK250117C00100000</t>
  </si>
  <si>
    <t>SHAK250117P00100000</t>
  </si>
  <si>
    <t>SHAK250117C00105000</t>
  </si>
  <si>
    <t>SHAK250117P00105000</t>
  </si>
  <si>
    <t>SHAK250117C00110000</t>
  </si>
  <si>
    <t>SHAK250117P00110000</t>
  </si>
  <si>
    <t>SHAK250117C00115000</t>
  </si>
  <si>
    <t>SHAK250117P00115000</t>
  </si>
  <si>
    <t>Note</t>
  </si>
  <si>
    <t>Consesus EPS has been increasing over the past 1 year, after COVID</t>
  </si>
  <si>
    <t>Company tends to understate its EPS Forecast when compared to Actual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</si>
</sst>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72" formatCode="_ * #,##0_ ;_ * \-#,##0_ ;_ * &quot;-&quot;??_ ;_ @_ "/>
    <numFmt numFmtId="178" formatCode="0.0000"/>
    <numFmt numFmtId="179" formatCode="0.000"/>
    <numFmt numFmtId="180" formatCode="0.000%"/>
  </numFmts>
  <fonts count="16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sz val="11"/>
      <color theme="8" tint="-0.249977111117893"/>
      <name val="Calibri"/>
      <family val="2"/>
      <charset val="134"/>
      <scheme val="minor"/>
    </font>
    <font>
      <b/>
      <sz val="11"/>
      <color theme="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theme="9" tint="-0.499984740745262"/>
      <name val="Calibri"/>
      <family val="2"/>
      <charset val="134"/>
      <scheme val="minor"/>
    </font>
    <font>
      <sz val="9"/>
      <color indexed="81"/>
      <name val="宋体"/>
      <charset val="134"/>
    </font>
    <font>
      <b/>
      <sz val="9"/>
      <color indexed="81"/>
      <name val="宋体"/>
      <charset val="134"/>
    </font>
    <font>
      <sz val="10"/>
      <name val="Arial"/>
      <family val="2"/>
    </font>
    <font>
      <sz val="11"/>
      <color theme="8" tint="-0.499984740745262"/>
      <name val="Calibri"/>
      <family val="2"/>
      <charset val="134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9" fillId="0" borderId="0">
      <alignment vertical="top"/>
    </xf>
  </cellStyleXfs>
  <cellXfs count="111">
    <xf numFmtId="0" fontId="0" fillId="0" borderId="0" xfId="0"/>
    <xf numFmtId="10" fontId="0" fillId="0" borderId="0" xfId="2" applyNumberFormat="1" applyFont="1"/>
    <xf numFmtId="10" fontId="0" fillId="0" borderId="0" xfId="0" applyNumberFormat="1"/>
    <xf numFmtId="0" fontId="3" fillId="0" borderId="0" xfId="0" applyFont="1"/>
    <xf numFmtId="10" fontId="3" fillId="0" borderId="0" xfId="0" applyNumberFormat="1" applyFont="1"/>
    <xf numFmtId="0" fontId="0" fillId="3" borderId="0" xfId="0" applyFill="1"/>
    <xf numFmtId="0" fontId="4" fillId="3" borderId="0" xfId="0" applyFont="1" applyFill="1"/>
    <xf numFmtId="0" fontId="5" fillId="3" borderId="0" xfId="0" applyFont="1" applyFill="1"/>
    <xf numFmtId="0" fontId="6" fillId="0" borderId="0" xfId="0" applyFont="1"/>
    <xf numFmtId="172" fontId="6" fillId="0" borderId="0" xfId="1" applyNumberFormat="1" applyFont="1"/>
    <xf numFmtId="10" fontId="6" fillId="0" borderId="0" xfId="2" applyNumberFormat="1" applyFont="1"/>
    <xf numFmtId="0" fontId="6" fillId="0" borderId="2" xfId="0" applyFont="1" applyBorder="1"/>
    <xf numFmtId="10" fontId="6" fillId="0" borderId="3" xfId="2" applyNumberFormat="1" applyFont="1" applyBorder="1"/>
    <xf numFmtId="10" fontId="6" fillId="0" borderId="4" xfId="2" applyNumberFormat="1" applyFont="1" applyBorder="1"/>
    <xf numFmtId="10" fontId="1" fillId="0" borderId="0" xfId="2" applyNumberFormat="1" applyFont="1"/>
    <xf numFmtId="9" fontId="1" fillId="0" borderId="0" xfId="2" applyNumberFormat="1" applyFont="1"/>
    <xf numFmtId="3" fontId="0" fillId="0" borderId="0" xfId="0" applyNumberFormat="1"/>
    <xf numFmtId="0" fontId="10" fillId="0" borderId="0" xfId="0" applyFont="1"/>
    <xf numFmtId="0" fontId="10" fillId="0" borderId="0" xfId="0" applyNumberFormat="1" applyFont="1" applyAlignment="1">
      <alignment horizontal="right"/>
    </xf>
    <xf numFmtId="10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0" fontId="11" fillId="0" borderId="0" xfId="0" applyFont="1"/>
    <xf numFmtId="179" fontId="0" fillId="0" borderId="0" xfId="0" applyNumberFormat="1"/>
    <xf numFmtId="179" fontId="10" fillId="0" borderId="0" xfId="0" applyNumberFormat="1" applyFont="1"/>
    <xf numFmtId="172" fontId="3" fillId="0" borderId="0" xfId="1" applyNumberFormat="1" applyFont="1"/>
    <xf numFmtId="10" fontId="10" fillId="0" borderId="0" xfId="2" applyNumberFormat="1" applyFont="1"/>
    <xf numFmtId="10" fontId="3" fillId="0" borderId="0" xfId="0" applyNumberFormat="1" applyFont="1" applyAlignment="1">
      <alignment horizontal="right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179" fontId="0" fillId="0" borderId="8" xfId="0" applyNumberFormat="1" applyBorder="1"/>
    <xf numFmtId="10" fontId="0" fillId="0" borderId="8" xfId="2" applyNumberFormat="1" applyFont="1" applyBorder="1"/>
    <xf numFmtId="0" fontId="0" fillId="0" borderId="9" xfId="0" applyBorder="1"/>
    <xf numFmtId="10" fontId="0" fillId="0" borderId="10" xfId="2" applyNumberFormat="1" applyFont="1" applyBorder="1"/>
    <xf numFmtId="2" fontId="0" fillId="0" borderId="0" xfId="0" applyNumberFormat="1"/>
    <xf numFmtId="180" fontId="4" fillId="0" borderId="0" xfId="0" applyNumberFormat="1" applyFont="1"/>
    <xf numFmtId="0" fontId="12" fillId="4" borderId="2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14" fontId="0" fillId="0" borderId="0" xfId="0" applyNumberFormat="1"/>
    <xf numFmtId="180" fontId="0" fillId="0" borderId="0" xfId="0" applyNumberFormat="1"/>
    <xf numFmtId="0" fontId="13" fillId="5" borderId="9" xfId="0" applyFont="1" applyFill="1" applyBorder="1"/>
    <xf numFmtId="0" fontId="13" fillId="5" borderId="11" xfId="0" applyFont="1" applyFill="1" applyBorder="1"/>
    <xf numFmtId="0" fontId="13" fillId="5" borderId="10" xfId="0" applyFont="1" applyFill="1" applyBorder="1"/>
    <xf numFmtId="0" fontId="13" fillId="5" borderId="12" xfId="0" applyFont="1" applyFill="1" applyBorder="1"/>
    <xf numFmtId="0" fontId="14" fillId="5" borderId="13" xfId="0" applyFont="1" applyFill="1" applyBorder="1" applyAlignment="1">
      <alignment horizontal="center"/>
    </xf>
    <xf numFmtId="0" fontId="13" fillId="5" borderId="14" xfId="0" applyFont="1" applyFill="1" applyBorder="1"/>
    <xf numFmtId="0" fontId="13" fillId="5" borderId="15" xfId="0" applyFont="1" applyFill="1" applyBorder="1"/>
    <xf numFmtId="178" fontId="13" fillId="5" borderId="16" xfId="0" applyNumberFormat="1" applyFont="1" applyFill="1" applyBorder="1"/>
    <xf numFmtId="178" fontId="13" fillId="5" borderId="17" xfId="0" applyNumberFormat="1" applyFont="1" applyFill="1" applyBorder="1"/>
    <xf numFmtId="0" fontId="13" fillId="5" borderId="17" xfId="0" applyFont="1" applyFill="1" applyBorder="1"/>
    <xf numFmtId="10" fontId="13" fillId="5" borderId="17" xfId="0" applyNumberFormat="1" applyFont="1" applyFill="1" applyBorder="1"/>
    <xf numFmtId="10" fontId="13" fillId="5" borderId="18" xfId="0" applyNumberFormat="1" applyFont="1" applyFill="1" applyBorder="1"/>
    <xf numFmtId="178" fontId="13" fillId="5" borderId="19" xfId="0" applyNumberFormat="1" applyFont="1" applyFill="1" applyBorder="1"/>
    <xf numFmtId="178" fontId="13" fillId="5" borderId="20" xfId="0" applyNumberFormat="1" applyFont="1" applyFill="1" applyBorder="1"/>
    <xf numFmtId="0" fontId="13" fillId="5" borderId="20" xfId="0" applyFont="1" applyFill="1" applyBorder="1"/>
    <xf numFmtId="0" fontId="13" fillId="5" borderId="20" xfId="0" quotePrefix="1" applyFont="1" applyFill="1" applyBorder="1"/>
    <xf numFmtId="10" fontId="13" fillId="5" borderId="20" xfId="0" applyNumberFormat="1" applyFont="1" applyFill="1" applyBorder="1"/>
    <xf numFmtId="10" fontId="13" fillId="5" borderId="21" xfId="0" applyNumberFormat="1" applyFont="1" applyFill="1" applyBorder="1"/>
    <xf numFmtId="0" fontId="13" fillId="5" borderId="22" xfId="0" applyFont="1" applyFill="1" applyBorder="1"/>
    <xf numFmtId="0" fontId="13" fillId="5" borderId="23" xfId="0" applyFont="1" applyFill="1" applyBorder="1"/>
    <xf numFmtId="10" fontId="13" fillId="5" borderId="23" xfId="0" applyNumberFormat="1" applyFont="1" applyFill="1" applyBorder="1"/>
    <xf numFmtId="10" fontId="13" fillId="5" borderId="24" xfId="0" applyNumberFormat="1" applyFont="1" applyFill="1" applyBorder="1"/>
    <xf numFmtId="0" fontId="13" fillId="5" borderId="7" xfId="0" applyFont="1" applyFill="1" applyBorder="1"/>
    <xf numFmtId="0" fontId="13" fillId="5" borderId="0" xfId="0" applyFont="1" applyFill="1"/>
    <xf numFmtId="0" fontId="13" fillId="5" borderId="8" xfId="0" applyFont="1" applyFill="1" applyBorder="1"/>
    <xf numFmtId="0" fontId="14" fillId="5" borderId="25" xfId="0" applyFont="1" applyFill="1" applyBorder="1" applyAlignment="1">
      <alignment horizontal="centerContinuous"/>
    </xf>
    <xf numFmtId="0" fontId="14" fillId="5" borderId="26" xfId="0" applyFont="1" applyFill="1" applyBorder="1" applyAlignment="1">
      <alignment horizontal="centerContinuous"/>
    </xf>
    <xf numFmtId="180" fontId="13" fillId="5" borderId="0" xfId="0" applyNumberFormat="1" applyFont="1" applyFill="1"/>
    <xf numFmtId="49" fontId="13" fillId="5" borderId="0" xfId="0" applyNumberFormat="1" applyFont="1" applyFill="1"/>
    <xf numFmtId="2" fontId="13" fillId="5" borderId="0" xfId="0" applyNumberFormat="1" applyFont="1" applyFill="1"/>
    <xf numFmtId="0" fontId="13" fillId="5" borderId="16" xfId="0" applyFont="1" applyFill="1" applyBorder="1"/>
    <xf numFmtId="0" fontId="15" fillId="5" borderId="17" xfId="0" applyFont="1" applyFill="1" applyBorder="1"/>
    <xf numFmtId="0" fontId="15" fillId="5" borderId="18" xfId="0" applyFont="1" applyFill="1" applyBorder="1"/>
    <xf numFmtId="0" fontId="15" fillId="5" borderId="19" xfId="0" applyFont="1" applyFill="1" applyBorder="1"/>
    <xf numFmtId="0" fontId="15" fillId="5" borderId="22" xfId="0" applyFont="1" applyFill="1" applyBorder="1"/>
    <xf numFmtId="0" fontId="15" fillId="5" borderId="16" xfId="0" applyFont="1" applyFill="1" applyBorder="1"/>
    <xf numFmtId="0" fontId="13" fillId="5" borderId="19" xfId="0" applyFont="1" applyFill="1" applyBorder="1"/>
    <xf numFmtId="0" fontId="13" fillId="5" borderId="27" xfId="0" applyFont="1" applyFill="1" applyBorder="1"/>
    <xf numFmtId="10" fontId="13" fillId="5" borderId="28" xfId="0" applyNumberFormat="1" applyFont="1" applyFill="1" applyBorder="1"/>
    <xf numFmtId="0" fontId="13" fillId="5" borderId="28" xfId="0" applyFont="1" applyFill="1" applyBorder="1"/>
    <xf numFmtId="10" fontId="13" fillId="5" borderId="29" xfId="0" applyNumberFormat="1" applyFont="1" applyFill="1" applyBorder="1"/>
    <xf numFmtId="0" fontId="4" fillId="0" borderId="5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9" fontId="15" fillId="5" borderId="5" xfId="0" applyNumberFormat="1" applyFont="1" applyFill="1" applyBorder="1"/>
    <xf numFmtId="10" fontId="0" fillId="5" borderId="30" xfId="0" applyNumberFormat="1" applyFill="1" applyBorder="1" applyAlignment="1">
      <alignment horizontal="centerContinuous"/>
    </xf>
    <xf numFmtId="9" fontId="15" fillId="5" borderId="31" xfId="0" applyNumberFormat="1" applyFont="1" applyFill="1" applyBorder="1"/>
    <xf numFmtId="10" fontId="0" fillId="5" borderId="6" xfId="0" applyNumberFormat="1" applyFill="1" applyBorder="1" applyAlignment="1">
      <alignment horizontal="centerContinuous"/>
    </xf>
    <xf numFmtId="9" fontId="15" fillId="5" borderId="7" xfId="0" applyNumberFormat="1" applyFont="1" applyFill="1" applyBorder="1"/>
    <xf numFmtId="10" fontId="0" fillId="5" borderId="32" xfId="0" applyNumberFormat="1" applyFill="1" applyBorder="1" applyAlignment="1">
      <alignment horizontal="centerContinuous"/>
    </xf>
    <xf numFmtId="9" fontId="15" fillId="5" borderId="33" xfId="0" applyNumberFormat="1" applyFont="1" applyFill="1" applyBorder="1"/>
    <xf numFmtId="10" fontId="0" fillId="5" borderId="8" xfId="0" applyNumberFormat="1" applyFill="1" applyBorder="1" applyAlignment="1">
      <alignment horizontal="centerContinuous"/>
    </xf>
    <xf numFmtId="9" fontId="15" fillId="5" borderId="9" xfId="0" applyNumberFormat="1" applyFont="1" applyFill="1" applyBorder="1"/>
    <xf numFmtId="10" fontId="0" fillId="5" borderId="34" xfId="0" applyNumberFormat="1" applyFill="1" applyBorder="1" applyAlignment="1">
      <alignment horizontal="centerContinuous"/>
    </xf>
    <xf numFmtId="0" fontId="13" fillId="5" borderId="35" xfId="0" applyFont="1" applyFill="1" applyBorder="1"/>
    <xf numFmtId="0" fontId="0" fillId="5" borderId="34" xfId="0" applyFill="1" applyBorder="1"/>
    <xf numFmtId="9" fontId="15" fillId="5" borderId="35" xfId="0" applyNumberFormat="1" applyFont="1" applyFill="1" applyBorder="1"/>
    <xf numFmtId="10" fontId="0" fillId="5" borderId="10" xfId="0" applyNumberFormat="1" applyFill="1" applyBorder="1" applyAlignment="1">
      <alignment horizontal="centerContinuous"/>
    </xf>
    <xf numFmtId="0" fontId="13" fillId="0" borderId="0" xfId="0" applyFont="1"/>
    <xf numFmtId="0" fontId="15" fillId="0" borderId="16" xfId="0" applyFont="1" applyBorder="1"/>
    <xf numFmtId="0" fontId="15" fillId="0" borderId="22" xfId="0" applyFont="1" applyBorder="1"/>
    <xf numFmtId="2" fontId="2" fillId="2" borderId="18" xfId="3" applyNumberFormat="1" applyBorder="1"/>
    <xf numFmtId="0" fontId="15" fillId="0" borderId="19" xfId="0" applyFont="1" applyBorder="1"/>
    <xf numFmtId="2" fontId="0" fillId="0" borderId="21" xfId="0" applyNumberFormat="1" applyBorder="1"/>
    <xf numFmtId="2" fontId="0" fillId="0" borderId="24" xfId="0" applyNumberFormat="1" applyBorder="1"/>
    <xf numFmtId="10" fontId="2" fillId="2" borderId="18" xfId="1" applyNumberFormat="1" applyFont="1" applyFill="1" applyBorder="1"/>
    <xf numFmtId="10" fontId="2" fillId="2" borderId="24" xfId="3" applyNumberFormat="1" applyBorder="1"/>
    <xf numFmtId="0" fontId="0" fillId="0" borderId="0" xfId="0" applyFill="1"/>
  </cellXfs>
  <cellStyles count="5">
    <cellStyle name="百分比" xfId="2" builtinId="5"/>
    <cellStyle name="常规" xfId="0" builtinId="0"/>
    <cellStyle name="常规 2" xfId="4" xr:uid="{D4B09D4B-647A-4B49-87C0-0B9DBABDB043}"/>
    <cellStyle name="千位分隔" xfId="1" builtinId="3"/>
    <cellStyle name="输入" xfId="3" builtinId="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0000"/>
              </a:schemeClr>
            </a:solidFill>
          </c:spPr>
          <c:invertIfNegative val="0"/>
          <c:cat>
            <c:strRef>
              <c:f>'[1]Template Monthly DoR'!$M$4:$M$15</c:f>
              <c:strCache>
                <c:ptCount val="12"/>
                <c:pt idx="0">
                  <c:v>Less than -44.55%</c:v>
                </c:pt>
                <c:pt idx="1">
                  <c:v>-44.55% to -35.58%</c:v>
                </c:pt>
                <c:pt idx="2">
                  <c:v>-35.58% to -26.61%</c:v>
                </c:pt>
                <c:pt idx="3">
                  <c:v>-26.61% to -17.64%</c:v>
                </c:pt>
                <c:pt idx="4">
                  <c:v>-17.64% to -8.68%</c:v>
                </c:pt>
                <c:pt idx="5">
                  <c:v>-8.68% to 0.29%</c:v>
                </c:pt>
                <c:pt idx="6">
                  <c:v>0.29% to 9.26%</c:v>
                </c:pt>
                <c:pt idx="7">
                  <c:v>9.26% to 18.23%</c:v>
                </c:pt>
                <c:pt idx="8">
                  <c:v>18.23% to 27.20%</c:v>
                </c:pt>
                <c:pt idx="9">
                  <c:v>27.20% to 36.17%</c:v>
                </c:pt>
                <c:pt idx="10">
                  <c:v>36.17% to 45.14%</c:v>
                </c:pt>
                <c:pt idx="11">
                  <c:v>Greater than 45.14%</c:v>
                </c:pt>
              </c:strCache>
            </c:strRef>
          </c:cat>
          <c:val>
            <c:numRef>
              <c:f>'[1]Template Monthly DoR'!$L$4:$L$15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6</c:v>
                </c:pt>
                <c:pt idx="4">
                  <c:v>17</c:v>
                </c:pt>
                <c:pt idx="5">
                  <c:v>26</c:v>
                </c:pt>
                <c:pt idx="6">
                  <c:v>32</c:v>
                </c:pt>
                <c:pt idx="7">
                  <c:v>13</c:v>
                </c:pt>
                <c:pt idx="8">
                  <c:v>7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C-4AB2-810A-8E37E037B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326144"/>
        <c:axId val="102061952"/>
      </c:barChart>
      <c:catAx>
        <c:axId val="9232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GB">
                    <a:solidFill>
                      <a:schemeClr val="bg1"/>
                    </a:solidFill>
                  </a:rPr>
                  <a:t>Close to Close Monthly</a:t>
                </a:r>
                <a:r>
                  <a:rPr lang="en-GB" baseline="0">
                    <a:solidFill>
                      <a:schemeClr val="bg1"/>
                    </a:solidFill>
                  </a:rPr>
                  <a:t> Return Range</a:t>
                </a:r>
                <a:endParaRPr lang="en-GB">
                  <a:solidFill>
                    <a:schemeClr val="bg1"/>
                  </a:solidFill>
                </a:endParaRP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102061952"/>
        <c:crosses val="autoZero"/>
        <c:auto val="1"/>
        <c:lblAlgn val="ctr"/>
        <c:lblOffset val="100"/>
        <c:noMultiLvlLbl val="0"/>
      </c:catAx>
      <c:valAx>
        <c:axId val="1020619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alpha val="1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GB">
                    <a:solidFill>
                      <a:schemeClr val="bg1"/>
                    </a:solidFill>
                  </a:rPr>
                  <a:t>Occurrences</a:t>
                </a:r>
              </a:p>
            </c:rich>
          </c:tx>
          <c:layout>
            <c:manualLayout>
              <c:xMode val="edge"/>
              <c:yMode val="edge"/>
              <c:x val="1.5896866707901958E-2"/>
              <c:y val="0.208226777648176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92326144"/>
        <c:crosses val="autoZero"/>
        <c:crossBetween val="between"/>
      </c:valAx>
      <c:spPr>
        <a:solidFill>
          <a:schemeClr val="tx1">
            <a:lumMod val="85000"/>
            <a:lumOff val="15000"/>
          </a:schemeClr>
        </a:solidFill>
      </c:spPr>
    </c:plotArea>
    <c:plotVisOnly val="1"/>
    <c:dispBlanksAs val="gap"/>
    <c:showDLblsOverMax val="0"/>
  </c:chart>
  <c:spPr>
    <a:solidFill>
      <a:schemeClr val="tx1">
        <a:lumMod val="85000"/>
        <a:lumOff val="1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122703</xdr:colOff>
      <xdr:row>15</xdr:row>
      <xdr:rowOff>186295</xdr:rowOff>
    </xdr:from>
    <xdr:to>
      <xdr:col>14</xdr:col>
      <xdr:colOff>1411941</xdr:colOff>
      <xdr:row>30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A9FECA-A6EC-41E9-970C-68C91788E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6526</xdr:colOff>
      <xdr:row>0</xdr:row>
      <xdr:rowOff>4762</xdr:rowOff>
    </xdr:from>
    <xdr:to>
      <xdr:col>6</xdr:col>
      <xdr:colOff>314325</xdr:colOff>
      <xdr:row>23</xdr:row>
      <xdr:rowOff>115468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77E9D10-33AA-9635-7E61-2EA536EA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6" y="4762"/>
          <a:ext cx="4193999" cy="42731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9801</xdr:colOff>
      <xdr:row>0</xdr:row>
      <xdr:rowOff>9526</xdr:rowOff>
    </xdr:from>
    <xdr:to>
      <xdr:col>12</xdr:col>
      <xdr:colOff>14289</xdr:colOff>
      <xdr:row>14</xdr:row>
      <xdr:rowOff>28576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0909B04-DE6C-DED0-AB86-39C5495FC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526" y="9526"/>
          <a:ext cx="3890688" cy="2552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</xdr:row>
      <xdr:rowOff>16138</xdr:rowOff>
    </xdr:from>
    <xdr:to>
      <xdr:col>3</xdr:col>
      <xdr:colOff>38100</xdr:colOff>
      <xdr:row>31</xdr:row>
      <xdr:rowOff>28576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69797007-70C1-4798-4969-54FB0AE2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3092713"/>
          <a:ext cx="3838575" cy="25460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9524</xdr:colOff>
      <xdr:row>19</xdr:row>
      <xdr:rowOff>76026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CAA6703E-2AC8-6A87-C97A-4F6801CC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77124" cy="34574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285749</xdr:colOff>
      <xdr:row>17</xdr:row>
      <xdr:rowOff>139824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BD0F776-8231-C986-8C4F-E5979D064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5049" cy="3216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108094</xdr:rowOff>
    </xdr:from>
    <xdr:to>
      <xdr:col>9</xdr:col>
      <xdr:colOff>266700</xdr:colOff>
      <xdr:row>34</xdr:row>
      <xdr:rowOff>52386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C98A3AED-4494-111D-906D-33F1D73F1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84669"/>
          <a:ext cx="6096000" cy="30208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32142\Desktop\ITPM\PTM\Portfolio%20Management\DoR_Stops_and_Targets.xlsx" TargetMode="External"/><Relationship Id="rId1" Type="http://schemas.openxmlformats.org/officeDocument/2006/relationships/externalLinkPath" Target="ITPM/PTM/Portfolio%20Management/DoR_Stops_and_Targe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emplate Monthly DoR"/>
      <sheetName val="Spread Template Monthly DoR"/>
    </sheetNames>
    <sheetDataSet>
      <sheetData sheetId="0">
        <row r="4">
          <cell r="L4">
            <v>0</v>
          </cell>
          <cell r="M4" t="str">
            <v>Less than -44.55%</v>
          </cell>
        </row>
        <row r="5">
          <cell r="L5">
            <v>0</v>
          </cell>
          <cell r="M5" t="str">
            <v>-44.55% to -35.58%</v>
          </cell>
        </row>
        <row r="6">
          <cell r="L6">
            <v>5</v>
          </cell>
          <cell r="M6" t="str">
            <v>-35.58% to -26.61%</v>
          </cell>
        </row>
        <row r="7">
          <cell r="L7">
            <v>6</v>
          </cell>
          <cell r="M7" t="str">
            <v>-26.61% to -17.64%</v>
          </cell>
        </row>
        <row r="8">
          <cell r="L8">
            <v>17</v>
          </cell>
          <cell r="M8" t="str">
            <v>-17.64% to -8.68%</v>
          </cell>
        </row>
        <row r="9">
          <cell r="L9">
            <v>26</v>
          </cell>
          <cell r="M9" t="str">
            <v>-8.68% to 0.29%</v>
          </cell>
        </row>
        <row r="10">
          <cell r="L10">
            <v>32</v>
          </cell>
          <cell r="M10" t="str">
            <v>0.29% to 9.26%</v>
          </cell>
        </row>
        <row r="11">
          <cell r="L11">
            <v>13</v>
          </cell>
          <cell r="M11" t="str">
            <v>9.26% to 18.23%</v>
          </cell>
        </row>
        <row r="12">
          <cell r="L12">
            <v>7</v>
          </cell>
          <cell r="M12" t="str">
            <v>18.23% to 27.20%</v>
          </cell>
        </row>
        <row r="13">
          <cell r="L13">
            <v>1</v>
          </cell>
          <cell r="M13" t="str">
            <v>27.20% to 36.17%</v>
          </cell>
        </row>
        <row r="14">
          <cell r="L14">
            <v>2</v>
          </cell>
          <cell r="M14" t="str">
            <v>36.17% to 45.14%</v>
          </cell>
        </row>
        <row r="15">
          <cell r="L15">
            <v>1</v>
          </cell>
          <cell r="M15" t="str">
            <v>Greater than 45.14%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7035F-B8CE-4499-AD48-381F866F41E0}">
  <dimension ref="A1:N62"/>
  <sheetViews>
    <sheetView tabSelected="1" workbookViewId="0">
      <pane ySplit="1" topLeftCell="A2" activePane="bottomLeft" state="frozen"/>
      <selection pane="bottomLeft" activeCell="N9" sqref="N9"/>
    </sheetView>
  </sheetViews>
  <sheetFormatPr defaultRowHeight="14.25"/>
  <cols>
    <col min="1" max="1" width="44.1328125" bestFit="1" customWidth="1"/>
    <col min="10" max="10" width="9.73046875" customWidth="1"/>
    <col min="11" max="11" width="9.86328125" customWidth="1"/>
    <col min="12" max="12" width="9.265625" style="3" customWidth="1"/>
    <col min="13" max="14" width="9.06640625" style="3"/>
  </cols>
  <sheetData>
    <row r="1" spans="1:14" s="6" customFormat="1" ht="22.5" customHeight="1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7" t="s">
        <v>49</v>
      </c>
      <c r="M1" s="7" t="s">
        <v>50</v>
      </c>
      <c r="N1" s="7" t="s">
        <v>51</v>
      </c>
    </row>
    <row r="2" spans="1:14">
      <c r="A2" t="s">
        <v>11</v>
      </c>
    </row>
    <row r="3" spans="1:14">
      <c r="A3" t="s">
        <v>12</v>
      </c>
      <c r="B3">
        <v>118.5</v>
      </c>
      <c r="C3">
        <v>190.6</v>
      </c>
      <c r="D3">
        <v>268.5</v>
      </c>
      <c r="E3">
        <v>358.8</v>
      </c>
      <c r="F3">
        <v>459.3</v>
      </c>
      <c r="G3">
        <v>594.5</v>
      </c>
      <c r="H3">
        <v>522.9</v>
      </c>
      <c r="I3">
        <v>739.9</v>
      </c>
      <c r="J3">
        <v>900.5</v>
      </c>
      <c r="K3">
        <v>1087.5</v>
      </c>
      <c r="L3" s="3">
        <v>1247</v>
      </c>
      <c r="M3" s="3">
        <v>1435</v>
      </c>
      <c r="N3" s="3">
        <v>1620</v>
      </c>
    </row>
    <row r="4" spans="1:14">
      <c r="A4" t="s">
        <v>14</v>
      </c>
      <c r="B4" s="1">
        <v>0.4375</v>
      </c>
      <c r="C4" s="1">
        <v>0.60799999999999998</v>
      </c>
      <c r="D4" s="1">
        <v>0.40860000000000002</v>
      </c>
      <c r="E4" s="1">
        <v>0.33650000000000002</v>
      </c>
      <c r="F4" s="1">
        <v>0.28010000000000002</v>
      </c>
      <c r="G4" s="1">
        <v>0.2944</v>
      </c>
      <c r="H4" s="1">
        <v>-0.1205</v>
      </c>
      <c r="I4" s="1">
        <v>0.41510000000000002</v>
      </c>
      <c r="J4" s="1">
        <v>0.217</v>
      </c>
      <c r="K4" s="1">
        <v>0.2077</v>
      </c>
      <c r="L4" s="4">
        <v>0.1462</v>
      </c>
      <c r="M4" s="4">
        <v>0.1512</v>
      </c>
      <c r="N4" s="4">
        <v>0.129</v>
      </c>
    </row>
    <row r="5" spans="1:14" ht="14.65" thickBot="1">
      <c r="A5" s="8" t="s">
        <v>60</v>
      </c>
      <c r="B5" s="9">
        <v>112042</v>
      </c>
      <c r="C5" s="9">
        <v>183219</v>
      </c>
      <c r="D5" s="9">
        <v>259350</v>
      </c>
      <c r="E5" s="9">
        <v>346388</v>
      </c>
      <c r="F5" s="9">
        <v>445589</v>
      </c>
      <c r="G5" s="9">
        <v>574625</v>
      </c>
      <c r="H5" s="9">
        <v>506339</v>
      </c>
      <c r="I5" s="9">
        <v>714989</v>
      </c>
      <c r="J5" s="9">
        <v>869270</v>
      </c>
      <c r="K5" s="9">
        <v>1046819</v>
      </c>
      <c r="L5" s="4"/>
      <c r="M5" s="4"/>
      <c r="N5" s="4"/>
    </row>
    <row r="6" spans="1:14" ht="14.65" thickBot="1">
      <c r="A6" s="11" t="s">
        <v>62</v>
      </c>
      <c r="B6" s="12">
        <f t="shared" ref="B6:J6" si="0">B5/(B3*1000)</f>
        <v>0.94550210970464132</v>
      </c>
      <c r="C6" s="12">
        <f t="shared" si="0"/>
        <v>0.96127492130115422</v>
      </c>
      <c r="D6" s="12">
        <f t="shared" si="0"/>
        <v>0.96592178770949721</v>
      </c>
      <c r="E6" s="12">
        <f t="shared" si="0"/>
        <v>0.96540691192865102</v>
      </c>
      <c r="F6" s="12">
        <f t="shared" si="0"/>
        <v>0.97014805138253868</v>
      </c>
      <c r="G6" s="12">
        <f t="shared" si="0"/>
        <v>0.96656854499579481</v>
      </c>
      <c r="H6" s="12">
        <f t="shared" si="0"/>
        <v>0.96832855230445591</v>
      </c>
      <c r="I6" s="12">
        <f t="shared" si="0"/>
        <v>0.96633193674820916</v>
      </c>
      <c r="J6" s="12">
        <f t="shared" si="0"/>
        <v>0.96531926707384785</v>
      </c>
      <c r="K6" s="13">
        <f>K5/(K3*1000)</f>
        <v>0.96259218390804602</v>
      </c>
      <c r="L6" s="4"/>
      <c r="M6" s="4"/>
      <c r="N6" s="4"/>
    </row>
    <row r="7" spans="1:14">
      <c r="A7" s="8" t="s">
        <v>63</v>
      </c>
      <c r="B7" s="9"/>
      <c r="C7" s="10">
        <f>(C5-B5)/B5</f>
        <v>0.63527070205815672</v>
      </c>
      <c r="D7" s="10">
        <f t="shared" ref="D7:K7" si="1">(D5-C5)/C5</f>
        <v>0.41551913284102632</v>
      </c>
      <c r="E7" s="10">
        <f t="shared" si="1"/>
        <v>0.33560053981106613</v>
      </c>
      <c r="F7" s="10">
        <f t="shared" si="1"/>
        <v>0.28638694181091723</v>
      </c>
      <c r="G7" s="10">
        <f t="shared" si="1"/>
        <v>0.28958524559627818</v>
      </c>
      <c r="H7" s="10">
        <f t="shared" si="1"/>
        <v>-0.1188357624537742</v>
      </c>
      <c r="I7" s="10">
        <f t="shared" si="1"/>
        <v>0.41207570422187506</v>
      </c>
      <c r="J7" s="10">
        <f t="shared" si="1"/>
        <v>0.21578094208442367</v>
      </c>
      <c r="K7" s="10">
        <f t="shared" si="1"/>
        <v>0.20425069311031094</v>
      </c>
      <c r="L7" s="27" t="s">
        <v>94</v>
      </c>
      <c r="M7" s="4"/>
      <c r="N7" s="4"/>
    </row>
    <row r="8" spans="1:14">
      <c r="A8" s="8"/>
      <c r="B8" s="9"/>
      <c r="C8" s="10"/>
      <c r="D8" s="10"/>
      <c r="E8" s="10"/>
      <c r="F8" s="10"/>
      <c r="G8" s="10"/>
      <c r="H8" s="10"/>
      <c r="I8" s="10"/>
      <c r="J8" s="14" t="s">
        <v>64</v>
      </c>
      <c r="K8" s="14">
        <f>(K5/B5)^(1/9)-1</f>
        <v>0.28183552903359366</v>
      </c>
      <c r="L8" s="4"/>
      <c r="M8" s="4"/>
      <c r="N8" s="4"/>
    </row>
    <row r="9" spans="1:14" ht="14.65" customHeight="1" thickBot="1">
      <c r="A9" s="8" t="s">
        <v>61</v>
      </c>
      <c r="B9" s="9">
        <v>6488</v>
      </c>
      <c r="C9" s="9">
        <v>7373</v>
      </c>
      <c r="D9" s="9">
        <v>9125</v>
      </c>
      <c r="E9" s="9">
        <v>12422</v>
      </c>
      <c r="F9" s="9">
        <v>13721</v>
      </c>
      <c r="G9" s="9">
        <v>19894</v>
      </c>
      <c r="H9" s="9">
        <v>16528</v>
      </c>
      <c r="I9" s="9">
        <v>24904</v>
      </c>
      <c r="J9" s="9">
        <v>31216</v>
      </c>
      <c r="K9" s="9">
        <v>40714</v>
      </c>
      <c r="L9" s="25">
        <v>46000</v>
      </c>
      <c r="M9" s="4"/>
      <c r="N9" s="4"/>
    </row>
    <row r="10" spans="1:14" ht="14.65" thickBot="1">
      <c r="A10" s="11" t="s">
        <v>62</v>
      </c>
      <c r="B10" s="12">
        <f t="shared" ref="B10:J10" si="2">B9/(B3*1000)</f>
        <v>5.4751054852320673E-2</v>
      </c>
      <c r="C10" s="12">
        <f t="shared" si="2"/>
        <v>3.8683105981112277E-2</v>
      </c>
      <c r="D10" s="12">
        <f t="shared" si="2"/>
        <v>3.398510242085661E-2</v>
      </c>
      <c r="E10" s="12">
        <f t="shared" si="2"/>
        <v>3.4620958751393531E-2</v>
      </c>
      <c r="F10" s="12">
        <f t="shared" si="2"/>
        <v>2.9873720879599389E-2</v>
      </c>
      <c r="G10" s="12">
        <f t="shared" si="2"/>
        <v>3.3463414634146343E-2</v>
      </c>
      <c r="H10" s="12">
        <f t="shared" si="2"/>
        <v>3.1608338114362214E-2</v>
      </c>
      <c r="I10" s="12">
        <f t="shared" si="2"/>
        <v>3.3658602513853227E-2</v>
      </c>
      <c r="J10" s="12">
        <f t="shared" si="2"/>
        <v>3.4665186007773456E-2</v>
      </c>
      <c r="K10" s="13">
        <f>K9/(K3*1000)</f>
        <v>3.7438160919540227E-2</v>
      </c>
      <c r="L10" s="4"/>
      <c r="M10" s="4"/>
      <c r="N10" s="4"/>
    </row>
    <row r="11" spans="1:14">
      <c r="A11" s="8" t="s">
        <v>63</v>
      </c>
      <c r="B11" s="10"/>
      <c r="C11" s="10">
        <f>(C9-B9)/B9</f>
        <v>0.13640567200986436</v>
      </c>
      <c r="D11" s="10">
        <f t="shared" ref="D11:L11" si="3">(D9-C9)/C9</f>
        <v>0.23762376237623761</v>
      </c>
      <c r="E11" s="10">
        <f t="shared" si="3"/>
        <v>0.3613150684931507</v>
      </c>
      <c r="F11" s="10">
        <f t="shared" si="3"/>
        <v>0.1045725326034455</v>
      </c>
      <c r="G11" s="10">
        <f t="shared" si="3"/>
        <v>0.44989432257124118</v>
      </c>
      <c r="H11" s="10">
        <f t="shared" si="3"/>
        <v>-0.16919674273650348</v>
      </c>
      <c r="I11" s="10">
        <f t="shared" si="3"/>
        <v>0.50677637947725074</v>
      </c>
      <c r="J11" s="10">
        <f t="shared" si="3"/>
        <v>0.25345326052039835</v>
      </c>
      <c r="K11" s="10">
        <f t="shared" si="3"/>
        <v>0.30426704254228598</v>
      </c>
      <c r="L11" s="26">
        <f t="shared" si="3"/>
        <v>0.12983249005256178</v>
      </c>
      <c r="M11" s="4"/>
      <c r="N11" s="4"/>
    </row>
    <row r="12" spans="1:14">
      <c r="A12" s="8"/>
      <c r="B12" s="10"/>
      <c r="C12" s="10"/>
      <c r="D12" s="10"/>
      <c r="E12" s="10"/>
      <c r="F12" s="10"/>
      <c r="G12" s="10"/>
      <c r="H12" s="10"/>
      <c r="I12" s="10"/>
      <c r="J12" s="14" t="s">
        <v>64</v>
      </c>
      <c r="K12" s="15">
        <f>((K9/B9)^(1/9))-1</f>
        <v>0.22638232084274712</v>
      </c>
      <c r="L12" s="4"/>
      <c r="M12" s="4"/>
      <c r="N12" s="4"/>
    </row>
    <row r="14" spans="1:14">
      <c r="A14" t="s">
        <v>15</v>
      </c>
    </row>
    <row r="15" spans="1:14">
      <c r="A15" t="s">
        <v>16</v>
      </c>
      <c r="B15">
        <v>74</v>
      </c>
      <c r="C15">
        <v>114</v>
      </c>
      <c r="D15">
        <v>161.1</v>
      </c>
      <c r="E15">
        <v>218.3</v>
      </c>
      <c r="F15">
        <v>280.89999999999998</v>
      </c>
      <c r="G15">
        <v>377.4</v>
      </c>
      <c r="H15">
        <v>361.7</v>
      </c>
      <c r="I15">
        <v>492.6</v>
      </c>
      <c r="J15">
        <v>587.5</v>
      </c>
      <c r="K15">
        <v>689.1</v>
      </c>
    </row>
    <row r="16" spans="1:14">
      <c r="A16" t="s">
        <v>15</v>
      </c>
      <c r="B16">
        <v>44.5</v>
      </c>
      <c r="C16">
        <v>76.599999999999994</v>
      </c>
      <c r="D16">
        <v>107.4</v>
      </c>
      <c r="E16">
        <v>140.5</v>
      </c>
      <c r="F16">
        <v>178.4</v>
      </c>
      <c r="G16">
        <v>217.1</v>
      </c>
      <c r="H16">
        <v>161.1</v>
      </c>
      <c r="I16">
        <v>247.3</v>
      </c>
      <c r="J16">
        <v>313</v>
      </c>
      <c r="K16">
        <v>398.4</v>
      </c>
    </row>
    <row r="17" spans="1:11">
      <c r="A17" t="s">
        <v>17</v>
      </c>
      <c r="B17" s="1">
        <v>0.40939999999999999</v>
      </c>
      <c r="C17" s="1">
        <v>0.71879999999999999</v>
      </c>
      <c r="D17" s="1">
        <v>0.40239999999999998</v>
      </c>
      <c r="E17" s="1">
        <v>0.309</v>
      </c>
      <c r="F17" s="1">
        <v>0.26950000000000002</v>
      </c>
      <c r="G17" s="1">
        <v>0.21679999999999999</v>
      </c>
      <c r="H17" s="1">
        <v>-0.25779999999999997</v>
      </c>
      <c r="I17" s="1">
        <v>0.53480000000000005</v>
      </c>
      <c r="J17" s="1">
        <v>0.26590000000000003</v>
      </c>
      <c r="K17" s="1">
        <v>0.2727</v>
      </c>
    </row>
    <row r="18" spans="1:11">
      <c r="A18" t="s">
        <v>47</v>
      </c>
      <c r="B18" s="1">
        <f>B16/B3</f>
        <v>0.37552742616033757</v>
      </c>
      <c r="C18" s="1">
        <f>C16/C3</f>
        <v>0.40188877229800629</v>
      </c>
      <c r="D18" s="1">
        <f>D16/D3</f>
        <v>0.4</v>
      </c>
      <c r="E18" s="1">
        <f>E16/E3</f>
        <v>0.39158305462653287</v>
      </c>
      <c r="F18" s="1">
        <f>F16/F3</f>
        <v>0.38841715654256476</v>
      </c>
      <c r="G18" s="1">
        <f>G16/G3</f>
        <v>0.36518082422203529</v>
      </c>
      <c r="H18" s="1">
        <f>H16/H3</f>
        <v>0.30808950086058517</v>
      </c>
      <c r="I18" s="1">
        <f>I16/I3</f>
        <v>0.33423435599405327</v>
      </c>
      <c r="J18" s="1">
        <f>J16/J3</f>
        <v>0.34758467518045533</v>
      </c>
      <c r="K18" s="1">
        <f>K16/K3</f>
        <v>0.3663448275862069</v>
      </c>
    </row>
    <row r="19" spans="1:11" hidden="1"/>
    <row r="20" spans="1:11" hidden="1">
      <c r="A20" t="s">
        <v>18</v>
      </c>
    </row>
    <row r="21" spans="1:11" hidden="1">
      <c r="A21" t="s">
        <v>19</v>
      </c>
      <c r="B21">
        <v>24.3</v>
      </c>
      <c r="C21">
        <v>29.7</v>
      </c>
      <c r="D21">
        <v>40.1</v>
      </c>
      <c r="E21">
        <v>48.6</v>
      </c>
      <c r="F21">
        <v>65</v>
      </c>
      <c r="G21">
        <v>80.5</v>
      </c>
      <c r="H21">
        <v>72.8</v>
      </c>
      <c r="I21">
        <v>100.3</v>
      </c>
      <c r="J21">
        <v>135.1</v>
      </c>
      <c r="K21">
        <v>145.4</v>
      </c>
    </row>
    <row r="22" spans="1:11" hidden="1">
      <c r="A22" t="s">
        <v>20</v>
      </c>
      <c r="B22">
        <v>5.8</v>
      </c>
      <c r="C22">
        <v>10.199999999999999</v>
      </c>
      <c r="D22">
        <v>14.5</v>
      </c>
      <c r="E22">
        <v>21.7</v>
      </c>
      <c r="F22">
        <v>29</v>
      </c>
      <c r="G22">
        <v>40.4</v>
      </c>
      <c r="H22">
        <v>48.8</v>
      </c>
      <c r="I22">
        <v>59</v>
      </c>
      <c r="J22">
        <v>72.8</v>
      </c>
      <c r="K22">
        <v>91.2</v>
      </c>
    </row>
    <row r="23" spans="1:11" hidden="1">
      <c r="A23" t="s">
        <v>21</v>
      </c>
      <c r="B23">
        <v>11.2</v>
      </c>
      <c r="C23">
        <v>16.3</v>
      </c>
      <c r="D23">
        <v>24.9</v>
      </c>
      <c r="E23">
        <v>35.799999999999997</v>
      </c>
      <c r="F23">
        <v>51.8</v>
      </c>
      <c r="G23">
        <v>69.2</v>
      </c>
      <c r="H23">
        <v>73.2</v>
      </c>
      <c r="I23">
        <v>102</v>
      </c>
      <c r="J23">
        <v>129.69999999999999</v>
      </c>
      <c r="K23">
        <v>149.4</v>
      </c>
    </row>
    <row r="24" spans="1:11" hidden="1">
      <c r="A24" t="s">
        <v>53</v>
      </c>
      <c r="B24" s="2">
        <f>B21/B3</f>
        <v>0.20506329113924052</v>
      </c>
      <c r="C24" s="2">
        <f>C21/C3</f>
        <v>0.15582371458551941</v>
      </c>
      <c r="D24" s="2">
        <f>D21/D3</f>
        <v>0.14934823091247673</v>
      </c>
      <c r="E24" s="2">
        <f>E21/E3</f>
        <v>0.1354515050167224</v>
      </c>
      <c r="F24" s="2">
        <f>F21/F3</f>
        <v>0.14151970389723492</v>
      </c>
      <c r="G24" s="2">
        <f>G21/G3</f>
        <v>0.13540790580319595</v>
      </c>
      <c r="H24" s="2">
        <f>H21/H3</f>
        <v>0.13922356091030791</v>
      </c>
      <c r="I24" s="2">
        <f>I21/I3</f>
        <v>0.13555885930531153</v>
      </c>
      <c r="J24" s="2">
        <f>J21/J3</f>
        <v>0.15002776235424764</v>
      </c>
      <c r="K24" s="2">
        <f>K21/K3</f>
        <v>0.13370114942528735</v>
      </c>
    </row>
    <row r="25" spans="1:11" hidden="1">
      <c r="A25" t="s">
        <v>22</v>
      </c>
      <c r="B25">
        <v>3.2</v>
      </c>
      <c r="C25">
        <v>20.399999999999999</v>
      </c>
      <c r="D25">
        <v>27.8</v>
      </c>
      <c r="E25">
        <v>34.4</v>
      </c>
      <c r="F25">
        <v>32.6</v>
      </c>
      <c r="G25">
        <v>27</v>
      </c>
      <c r="H25">
        <v>-33.700000000000003</v>
      </c>
      <c r="I25">
        <v>-14</v>
      </c>
      <c r="J25">
        <v>-24.5</v>
      </c>
      <c r="K25">
        <v>12.3</v>
      </c>
    </row>
    <row r="26" spans="1:11" hidden="1">
      <c r="A26" t="s">
        <v>65</v>
      </c>
      <c r="B26" s="1">
        <f>B25/B3</f>
        <v>2.7004219409282701E-2</v>
      </c>
      <c r="C26" s="1">
        <f t="shared" ref="C26:K26" si="4">C25/C3</f>
        <v>0.10703043022035677</v>
      </c>
      <c r="D26" s="1">
        <f t="shared" si="4"/>
        <v>0.10353817504655494</v>
      </c>
      <c r="E26" s="1">
        <f t="shared" si="4"/>
        <v>9.587513935340021E-2</v>
      </c>
      <c r="F26" s="1">
        <f t="shared" si="4"/>
        <v>7.0977574569997828E-2</v>
      </c>
      <c r="G26" s="1">
        <f t="shared" si="4"/>
        <v>4.5416316232127836E-2</v>
      </c>
      <c r="H26" s="1">
        <f t="shared" si="4"/>
        <v>-6.444826926754639E-2</v>
      </c>
      <c r="I26" s="1">
        <f t="shared" si="4"/>
        <v>-1.8921475875118259E-2</v>
      </c>
      <c r="J26" s="1">
        <f t="shared" si="4"/>
        <v>-2.7207107162687396E-2</v>
      </c>
      <c r="K26" s="1">
        <f t="shared" si="4"/>
        <v>1.1310344827586208E-2</v>
      </c>
    </row>
    <row r="27" spans="1:11" hidden="1">
      <c r="A27" t="s">
        <v>23</v>
      </c>
    </row>
    <row r="28" spans="1:11" hidden="1">
      <c r="A28" t="s">
        <v>24</v>
      </c>
      <c r="B28">
        <v>-0.4</v>
      </c>
      <c r="C28">
        <v>-0.3</v>
      </c>
      <c r="D28">
        <v>0</v>
      </c>
      <c r="E28">
        <v>-0.7</v>
      </c>
      <c r="F28">
        <v>-1</v>
      </c>
      <c r="G28">
        <v>0.8</v>
      </c>
      <c r="H28">
        <v>-0.5</v>
      </c>
      <c r="I28">
        <v>-1.3</v>
      </c>
      <c r="J28">
        <v>-0.5</v>
      </c>
      <c r="K28">
        <v>1.2</v>
      </c>
    </row>
    <row r="29" spans="1:11" hidden="1">
      <c r="A29" t="s">
        <v>25</v>
      </c>
      <c r="B29">
        <v>-0.4</v>
      </c>
      <c r="C29">
        <v>-0.3</v>
      </c>
      <c r="D29">
        <v>-0.4</v>
      </c>
      <c r="E29">
        <v>-1.6</v>
      </c>
      <c r="F29">
        <v>-2.4</v>
      </c>
      <c r="G29">
        <v>-0.4</v>
      </c>
      <c r="H29">
        <v>-0.8</v>
      </c>
      <c r="I29">
        <v>-1.6</v>
      </c>
      <c r="J29">
        <v>-1.5</v>
      </c>
      <c r="K29">
        <v>-1.7</v>
      </c>
    </row>
    <row r="30" spans="1:11" hidden="1">
      <c r="A30" t="s">
        <v>26</v>
      </c>
      <c r="B30" t="s">
        <v>13</v>
      </c>
      <c r="C30">
        <v>0</v>
      </c>
      <c r="D30">
        <v>0.4</v>
      </c>
      <c r="E30">
        <v>0.9</v>
      </c>
      <c r="F30">
        <v>1.4</v>
      </c>
      <c r="G30">
        <v>1.2</v>
      </c>
      <c r="H30">
        <v>0.4</v>
      </c>
      <c r="I30">
        <v>0.3</v>
      </c>
      <c r="J30">
        <v>1</v>
      </c>
      <c r="K30">
        <v>2.9</v>
      </c>
    </row>
    <row r="31" spans="1:11" hidden="1"/>
    <row r="32" spans="1:11" hidden="1">
      <c r="A32" t="s">
        <v>27</v>
      </c>
    </row>
    <row r="33" spans="1:14" hidden="1">
      <c r="A33" t="s">
        <v>28</v>
      </c>
      <c r="B33">
        <v>0</v>
      </c>
      <c r="C33" t="s">
        <v>13</v>
      </c>
      <c r="D33" t="s">
        <v>13</v>
      </c>
      <c r="E33" t="s">
        <v>13</v>
      </c>
      <c r="F33">
        <v>0.1</v>
      </c>
      <c r="G33">
        <v>0</v>
      </c>
      <c r="H33">
        <v>0</v>
      </c>
      <c r="I33">
        <v>0.1</v>
      </c>
      <c r="J33">
        <v>3.3</v>
      </c>
      <c r="K33">
        <v>9.8000000000000007</v>
      </c>
    </row>
    <row r="34" spans="1:14" hidden="1">
      <c r="A34" t="s">
        <v>29</v>
      </c>
      <c r="B34">
        <v>2.9</v>
      </c>
      <c r="C34">
        <v>20</v>
      </c>
      <c r="D34">
        <v>27.8</v>
      </c>
      <c r="E34">
        <v>33.700000000000003</v>
      </c>
      <c r="F34">
        <v>31.7</v>
      </c>
      <c r="G34">
        <v>27.8</v>
      </c>
      <c r="H34">
        <v>-34.200000000000003</v>
      </c>
      <c r="I34">
        <v>-15.2</v>
      </c>
      <c r="J34">
        <v>-21.7</v>
      </c>
      <c r="K34">
        <v>23.3</v>
      </c>
    </row>
    <row r="35" spans="1:14" hidden="1">
      <c r="A35" t="s">
        <v>30</v>
      </c>
      <c r="B35">
        <v>-0.1</v>
      </c>
      <c r="C35">
        <v>0</v>
      </c>
      <c r="D35">
        <v>0</v>
      </c>
      <c r="E35">
        <v>-0.6</v>
      </c>
      <c r="F35">
        <v>-0.9</v>
      </c>
      <c r="G35">
        <v>-1.4</v>
      </c>
      <c r="H35">
        <v>-2.5</v>
      </c>
      <c r="I35">
        <v>-1.6</v>
      </c>
      <c r="J35">
        <v>-2.2999999999999998</v>
      </c>
      <c r="K35">
        <v>-3</v>
      </c>
    </row>
    <row r="36" spans="1:14" hidden="1">
      <c r="A36" t="s">
        <v>31</v>
      </c>
      <c r="B36" t="s">
        <v>13</v>
      </c>
      <c r="C36" t="s">
        <v>13</v>
      </c>
      <c r="D36">
        <v>0</v>
      </c>
      <c r="E36">
        <v>0</v>
      </c>
      <c r="F36">
        <v>-0.1</v>
      </c>
      <c r="G36">
        <v>0.2</v>
      </c>
      <c r="H36">
        <v>0</v>
      </c>
      <c r="I36">
        <v>-0.3</v>
      </c>
      <c r="J36">
        <v>-0.2</v>
      </c>
      <c r="K36">
        <v>0.1</v>
      </c>
    </row>
    <row r="37" spans="1:14" hidden="1">
      <c r="A37" t="s">
        <v>32</v>
      </c>
      <c r="B37" t="s">
        <v>13</v>
      </c>
      <c r="C37">
        <v>-13.6</v>
      </c>
      <c r="D37">
        <v>0.7</v>
      </c>
      <c r="E37">
        <v>127.2</v>
      </c>
      <c r="F37">
        <v>0.1</v>
      </c>
      <c r="G37">
        <v>0.8</v>
      </c>
      <c r="H37">
        <v>-8.8000000000000007</v>
      </c>
      <c r="I37">
        <v>-0.2</v>
      </c>
      <c r="J37">
        <v>-0.1</v>
      </c>
      <c r="K37">
        <v>-3.4</v>
      </c>
    </row>
    <row r="38" spans="1:14" hidden="1">
      <c r="A38" t="s">
        <v>33</v>
      </c>
      <c r="B38">
        <v>2.8</v>
      </c>
      <c r="C38">
        <v>6.4</v>
      </c>
      <c r="D38">
        <v>28.5</v>
      </c>
      <c r="E38">
        <v>160.30000000000001</v>
      </c>
      <c r="F38">
        <v>30.8</v>
      </c>
      <c r="G38">
        <v>27.5</v>
      </c>
      <c r="H38">
        <v>-45.5</v>
      </c>
      <c r="I38">
        <v>-17.3</v>
      </c>
      <c r="J38">
        <v>-24.3</v>
      </c>
      <c r="K38">
        <v>17</v>
      </c>
    </row>
    <row r="39" spans="1:14" hidden="1"/>
    <row r="40" spans="1:14" hidden="1">
      <c r="A40" t="s">
        <v>34</v>
      </c>
    </row>
    <row r="41" spans="1:14" hidden="1">
      <c r="A41" t="s">
        <v>35</v>
      </c>
      <c r="B41">
        <v>0.7</v>
      </c>
      <c r="C41">
        <v>3.3</v>
      </c>
      <c r="D41">
        <v>6.3</v>
      </c>
      <c r="E41">
        <v>151.4</v>
      </c>
      <c r="F41">
        <v>8.9</v>
      </c>
      <c r="G41">
        <v>3.4</v>
      </c>
      <c r="H41">
        <v>0.1</v>
      </c>
      <c r="I41">
        <v>-11.3</v>
      </c>
      <c r="J41">
        <v>-1.2</v>
      </c>
      <c r="K41">
        <v>-4</v>
      </c>
    </row>
    <row r="42" spans="1:14" hidden="1">
      <c r="A42" t="s">
        <v>36</v>
      </c>
      <c r="B42">
        <v>2.1</v>
      </c>
      <c r="C42">
        <v>3.1</v>
      </c>
      <c r="D42">
        <v>22.1</v>
      </c>
      <c r="E42">
        <v>8.9</v>
      </c>
      <c r="F42">
        <v>21.9</v>
      </c>
      <c r="G42">
        <v>24.1</v>
      </c>
      <c r="H42">
        <v>-45.5</v>
      </c>
      <c r="I42">
        <v>-6</v>
      </c>
      <c r="J42">
        <v>-23.1</v>
      </c>
      <c r="K42">
        <v>21</v>
      </c>
    </row>
    <row r="43" spans="1:14" hidden="1">
      <c r="A43" t="s">
        <v>37</v>
      </c>
      <c r="B43" t="s">
        <v>13</v>
      </c>
      <c r="C43">
        <v>-11.9</v>
      </c>
      <c r="D43">
        <v>-9.6999999999999993</v>
      </c>
      <c r="E43">
        <v>-9.1999999999999993</v>
      </c>
      <c r="F43">
        <v>-6.8</v>
      </c>
      <c r="G43">
        <v>-4.3</v>
      </c>
      <c r="H43">
        <v>3.4</v>
      </c>
      <c r="I43">
        <v>1.5</v>
      </c>
      <c r="J43">
        <v>1.9</v>
      </c>
      <c r="K43">
        <v>-0.7</v>
      </c>
    </row>
    <row r="44" spans="1:14" hidden="1">
      <c r="A44" t="s">
        <v>38</v>
      </c>
      <c r="B44">
        <v>2.1</v>
      </c>
      <c r="C44">
        <v>-8.8000000000000007</v>
      </c>
      <c r="D44">
        <v>12.4</v>
      </c>
      <c r="E44">
        <v>-0.3</v>
      </c>
      <c r="F44">
        <v>15.2</v>
      </c>
      <c r="G44">
        <v>19.8</v>
      </c>
      <c r="H44">
        <v>-42.2</v>
      </c>
      <c r="I44">
        <v>-4.5999999999999996</v>
      </c>
      <c r="J44">
        <v>-21.2</v>
      </c>
      <c r="K44">
        <v>20.3</v>
      </c>
    </row>
    <row r="46" spans="1:14">
      <c r="A46" t="s">
        <v>48</v>
      </c>
      <c r="B46">
        <v>0.14000000000000001</v>
      </c>
      <c r="C46">
        <v>0.32</v>
      </c>
      <c r="D46">
        <v>0.46</v>
      </c>
      <c r="E46">
        <v>0.56999999999999995</v>
      </c>
      <c r="F46">
        <v>0.71</v>
      </c>
      <c r="G46">
        <v>0.72</v>
      </c>
      <c r="H46">
        <v>-0.56000000000000005</v>
      </c>
      <c r="I46">
        <v>-0.06</v>
      </c>
      <c r="J46">
        <v>-0.31</v>
      </c>
      <c r="K46">
        <v>0.37</v>
      </c>
      <c r="L46" s="3">
        <v>0.69</v>
      </c>
      <c r="M46" s="3">
        <v>0.95</v>
      </c>
      <c r="N46" s="3">
        <v>1.1299999999999999</v>
      </c>
    </row>
    <row r="47" spans="1:14">
      <c r="A47" t="s">
        <v>52</v>
      </c>
      <c r="C47" s="2">
        <f>(C46-B46)/ABS(B46)</f>
        <v>1.2857142857142856</v>
      </c>
      <c r="D47" s="2">
        <f t="shared" ref="D47:N47" si="5">(D46-C46)/ABS(C46)</f>
        <v>0.43750000000000006</v>
      </c>
      <c r="E47" s="2">
        <f t="shared" si="5"/>
        <v>0.23913043478260854</v>
      </c>
      <c r="F47" s="2">
        <f t="shared" si="5"/>
        <v>0.24561403508771934</v>
      </c>
      <c r="G47" s="2">
        <f t="shared" si="5"/>
        <v>1.4084507042253534E-2</v>
      </c>
      <c r="H47" s="2">
        <f t="shared" si="5"/>
        <v>-1.7777777777777779</v>
      </c>
      <c r="I47" s="2">
        <f t="shared" si="5"/>
        <v>0.89285714285714279</v>
      </c>
      <c r="J47" s="2">
        <f t="shared" si="5"/>
        <v>-4.166666666666667</v>
      </c>
      <c r="K47" s="2">
        <f t="shared" si="5"/>
        <v>2.193548387096774</v>
      </c>
      <c r="L47" s="4">
        <f t="shared" si="5"/>
        <v>0.86486486486486469</v>
      </c>
      <c r="M47" s="4">
        <f t="shared" si="5"/>
        <v>0.37681159420289861</v>
      </c>
      <c r="N47" s="4">
        <f t="shared" si="5"/>
        <v>0.18947368421052627</v>
      </c>
    </row>
    <row r="49" spans="1:11">
      <c r="A49" t="s">
        <v>39</v>
      </c>
    </row>
    <row r="50" spans="1:11">
      <c r="A50" t="s">
        <v>40</v>
      </c>
      <c r="B50">
        <v>118.5</v>
      </c>
      <c r="C50">
        <v>190.6</v>
      </c>
      <c r="D50">
        <v>268.5</v>
      </c>
      <c r="E50">
        <v>358.8</v>
      </c>
      <c r="F50">
        <v>459.3</v>
      </c>
      <c r="G50">
        <v>594.5</v>
      </c>
      <c r="H50">
        <v>522.9</v>
      </c>
      <c r="I50">
        <v>739.9</v>
      </c>
      <c r="J50">
        <v>900.5</v>
      </c>
      <c r="K50">
        <v>1087.5</v>
      </c>
    </row>
    <row r="51" spans="1:11">
      <c r="A51" t="s">
        <v>41</v>
      </c>
      <c r="B51">
        <v>9.1</v>
      </c>
      <c r="C51">
        <v>30.6</v>
      </c>
      <c r="D51">
        <v>42.3</v>
      </c>
      <c r="E51">
        <v>56.1</v>
      </c>
      <c r="F51">
        <v>61.6</v>
      </c>
      <c r="G51">
        <v>67.400000000000006</v>
      </c>
      <c r="H51">
        <v>15.1</v>
      </c>
      <c r="I51">
        <v>45</v>
      </c>
      <c r="J51">
        <v>48.3</v>
      </c>
      <c r="K51">
        <v>103.6</v>
      </c>
    </row>
    <row r="52" spans="1:11">
      <c r="A52" t="s">
        <v>42</v>
      </c>
      <c r="B52">
        <v>3.2</v>
      </c>
      <c r="C52">
        <v>20.399999999999999</v>
      </c>
      <c r="D52">
        <v>27.8</v>
      </c>
      <c r="E52">
        <v>34.4</v>
      </c>
      <c r="F52">
        <v>32.6</v>
      </c>
      <c r="G52">
        <v>27</v>
      </c>
      <c r="H52">
        <v>-33.700000000000003</v>
      </c>
      <c r="I52">
        <v>-14</v>
      </c>
      <c r="J52">
        <v>-24.5</v>
      </c>
      <c r="K52">
        <v>12.3</v>
      </c>
    </row>
    <row r="53" spans="1:11">
      <c r="A53" t="s">
        <v>43</v>
      </c>
      <c r="B53">
        <v>3.2</v>
      </c>
      <c r="C53">
        <v>20.399999999999999</v>
      </c>
      <c r="D53">
        <v>27.8</v>
      </c>
      <c r="E53">
        <v>34.4</v>
      </c>
      <c r="F53">
        <v>32.6</v>
      </c>
      <c r="G53">
        <v>27</v>
      </c>
      <c r="H53">
        <v>-33.700000000000003</v>
      </c>
      <c r="I53">
        <v>-14</v>
      </c>
      <c r="J53">
        <v>-24.5</v>
      </c>
      <c r="K53">
        <v>12.3</v>
      </c>
    </row>
    <row r="54" spans="1:11">
      <c r="A54" t="s">
        <v>44</v>
      </c>
      <c r="B54">
        <v>0.23810000000000001</v>
      </c>
      <c r="C54">
        <v>0.51400000000000001</v>
      </c>
      <c r="D54">
        <v>0.2228</v>
      </c>
      <c r="E54">
        <v>0.9446</v>
      </c>
      <c r="F54">
        <v>0.28760000000000002</v>
      </c>
      <c r="G54">
        <v>0.1231</v>
      </c>
      <c r="H54" t="s">
        <v>13</v>
      </c>
      <c r="I54" t="s">
        <v>13</v>
      </c>
      <c r="J54" t="s">
        <v>13</v>
      </c>
      <c r="K54" t="s">
        <v>13</v>
      </c>
    </row>
    <row r="55" spans="1:11">
      <c r="A55" t="s">
        <v>45</v>
      </c>
      <c r="B55">
        <v>1.8</v>
      </c>
      <c r="C55">
        <v>0.6</v>
      </c>
      <c r="D55">
        <v>7.7</v>
      </c>
      <c r="E55">
        <v>11.8</v>
      </c>
      <c r="F55">
        <v>13.1</v>
      </c>
      <c r="G55">
        <v>13.1</v>
      </c>
      <c r="H55">
        <v>-18</v>
      </c>
      <c r="I55">
        <v>-8</v>
      </c>
      <c r="J55">
        <v>-11.7</v>
      </c>
      <c r="K55">
        <v>13.8</v>
      </c>
    </row>
    <row r="56" spans="1:11">
      <c r="A56" t="s">
        <v>46</v>
      </c>
    </row>
    <row r="57" spans="1:11">
      <c r="A57" t="s">
        <v>55</v>
      </c>
      <c r="B57" s="1" t="s">
        <v>13</v>
      </c>
      <c r="C57" s="1">
        <v>0.1686</v>
      </c>
      <c r="D57" s="1">
        <v>0.1192</v>
      </c>
      <c r="E57" s="1">
        <v>-0.52890000000000004</v>
      </c>
      <c r="F57" s="1">
        <v>8.9099999999999999E-2</v>
      </c>
      <c r="G57" s="1">
        <v>4.9399999999999999E-2</v>
      </c>
      <c r="H57" s="1">
        <v>-4.5600000000000002E-2</v>
      </c>
      <c r="I57" s="1">
        <v>-2.8E-3</v>
      </c>
      <c r="J57" s="1">
        <v>-2.0400000000000001E-2</v>
      </c>
      <c r="K57" s="1">
        <v>1.3599999999999999E-2</v>
      </c>
    </row>
    <row r="58" spans="1:11">
      <c r="A58" t="s">
        <v>56</v>
      </c>
      <c r="B58" s="1">
        <v>2.9399999999999999E-2</v>
      </c>
      <c r="C58" s="1">
        <v>5.5E-2</v>
      </c>
      <c r="D58" s="1">
        <v>3.7900000000000003E-2</v>
      </c>
      <c r="E58" s="1">
        <v>4.2599999999999999E-2</v>
      </c>
      <c r="F58" s="1">
        <v>3.7699999999999997E-2</v>
      </c>
      <c r="G58" s="1">
        <v>2.1399999999999999E-2</v>
      </c>
      <c r="H58" s="1">
        <v>-1.9900000000000001E-2</v>
      </c>
      <c r="I58" s="1">
        <v>-6.7000000000000002E-3</v>
      </c>
      <c r="J58" s="1">
        <v>-1.03E-2</v>
      </c>
      <c r="K58" s="1">
        <v>4.8999999999999998E-3</v>
      </c>
    </row>
    <row r="59" spans="1:11">
      <c r="A59" t="s">
        <v>57</v>
      </c>
      <c r="B59" s="1">
        <v>8.4699999999999998E-2</v>
      </c>
      <c r="C59" s="1">
        <v>3.6799999999999999E-2</v>
      </c>
      <c r="D59" s="1">
        <v>0.1236</v>
      </c>
      <c r="E59" s="1">
        <v>4.1700000000000001E-2</v>
      </c>
      <c r="F59" s="1">
        <v>8.8200000000000001E-2</v>
      </c>
      <c r="G59" s="1">
        <v>8.1000000000000003E-2</v>
      </c>
      <c r="H59" s="1">
        <v>-0.12039999999999999</v>
      </c>
      <c r="I59" s="1">
        <v>-1.38E-2</v>
      </c>
      <c r="J59" s="1">
        <v>-5.2999999999999999E-2</v>
      </c>
      <c r="K59" s="1">
        <v>4.6300000000000001E-2</v>
      </c>
    </row>
    <row r="61" spans="1:11">
      <c r="A61" t="s">
        <v>58</v>
      </c>
      <c r="B61">
        <v>3.3</v>
      </c>
      <c r="C61" t="s">
        <v>13</v>
      </c>
      <c r="D61" t="s">
        <v>13</v>
      </c>
      <c r="E61" t="s">
        <v>13</v>
      </c>
      <c r="F61" t="s">
        <v>13</v>
      </c>
      <c r="G61">
        <v>2.2999999999999998</v>
      </c>
      <c r="H61">
        <v>2.7</v>
      </c>
      <c r="I61">
        <v>2.8</v>
      </c>
      <c r="J61">
        <v>3.3</v>
      </c>
      <c r="K61">
        <v>2.5</v>
      </c>
    </row>
    <row r="62" spans="1:11">
      <c r="K62" t="s">
        <v>59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E74CF-3906-41BD-9720-1C1BD18BE1E4}">
  <dimension ref="A1:O252"/>
  <sheetViews>
    <sheetView workbookViewId="0">
      <selection activeCell="G1" sqref="G1:G1048576"/>
    </sheetView>
  </sheetViews>
  <sheetFormatPr defaultRowHeight="14.25"/>
  <cols>
    <col min="1" max="1" width="9.19921875" bestFit="1" customWidth="1"/>
    <col min="2" max="6" width="10.73046875" bestFit="1" customWidth="1"/>
    <col min="7" max="8" width="10.1328125" style="42" bestFit="1" customWidth="1"/>
    <col min="10" max="10" width="17.796875" bestFit="1" customWidth="1"/>
    <col min="11" max="11" width="14.265625" bestFit="1" customWidth="1"/>
    <col min="12" max="12" width="11.53125" bestFit="1" customWidth="1"/>
    <col min="13" max="13" width="17.265625" bestFit="1" customWidth="1"/>
    <col min="14" max="14" width="23.19921875" bestFit="1" customWidth="1"/>
    <col min="15" max="15" width="19" bestFit="1" customWidth="1"/>
  </cols>
  <sheetData>
    <row r="1" spans="1:15" ht="16.149999999999999" thickBot="1">
      <c r="A1" t="s">
        <v>105</v>
      </c>
      <c r="B1" t="s">
        <v>106</v>
      </c>
      <c r="C1" t="s">
        <v>54</v>
      </c>
      <c r="D1" t="s">
        <v>107</v>
      </c>
      <c r="E1" t="s">
        <v>108</v>
      </c>
      <c r="F1" t="s">
        <v>109</v>
      </c>
      <c r="G1" s="37" t="s">
        <v>110</v>
      </c>
      <c r="H1" s="37" t="s">
        <v>111</v>
      </c>
      <c r="J1" s="38" t="s">
        <v>112</v>
      </c>
      <c r="K1" s="39"/>
      <c r="L1" s="39"/>
      <c r="M1" s="39"/>
      <c r="N1" s="39"/>
      <c r="O1" s="40"/>
    </row>
    <row r="2" spans="1:15" ht="14.65" thickBot="1">
      <c r="A2" s="41">
        <v>42036</v>
      </c>
      <c r="B2">
        <v>45.630001</v>
      </c>
      <c r="C2">
        <v>46.41</v>
      </c>
      <c r="D2">
        <v>38.634998000000003</v>
      </c>
      <c r="E2">
        <v>43.150002000000001</v>
      </c>
      <c r="F2">
        <v>43.150002000000001</v>
      </c>
      <c r="G2" s="42">
        <f>(F2-F3)/F3</f>
        <v>-0.13786208067656502</v>
      </c>
      <c r="H2" s="42">
        <f>(C2-D2)/D2</f>
        <v>0.20124245897463208</v>
      </c>
      <c r="J2" s="43"/>
      <c r="K2" s="44"/>
      <c r="L2" s="44"/>
      <c r="M2" s="44"/>
      <c r="N2" s="44"/>
      <c r="O2" s="45"/>
    </row>
    <row r="3" spans="1:15" ht="14.65" thickBot="1">
      <c r="A3" s="41">
        <v>42064</v>
      </c>
      <c r="B3">
        <v>43.5</v>
      </c>
      <c r="C3">
        <v>51.200001</v>
      </c>
      <c r="D3">
        <v>42.080002</v>
      </c>
      <c r="E3">
        <v>50.049999</v>
      </c>
      <c r="F3">
        <v>50.049999</v>
      </c>
      <c r="G3" s="42">
        <f t="shared" ref="G3:G66" si="0">(F3-F4)/F4</f>
        <v>-0.27200001454545453</v>
      </c>
      <c r="H3" s="42">
        <f t="shared" ref="H3:H66" si="1">(C3-D3)/D3</f>
        <v>0.21673000395769942</v>
      </c>
      <c r="J3" s="46" t="s">
        <v>113</v>
      </c>
      <c r="K3" s="47" t="s">
        <v>114</v>
      </c>
      <c r="L3" s="47" t="s">
        <v>115</v>
      </c>
      <c r="M3" s="48" t="s">
        <v>116</v>
      </c>
      <c r="N3" s="48" t="s">
        <v>117</v>
      </c>
      <c r="O3" s="49" t="s">
        <v>118</v>
      </c>
    </row>
    <row r="4" spans="1:15">
      <c r="A4" s="41">
        <v>42095</v>
      </c>
      <c r="B4">
        <v>49.799999</v>
      </c>
      <c r="C4">
        <v>71.669998000000007</v>
      </c>
      <c r="D4">
        <v>47.5</v>
      </c>
      <c r="E4">
        <v>68.75</v>
      </c>
      <c r="F4">
        <v>68.75</v>
      </c>
      <c r="G4" s="42">
        <f t="shared" si="0"/>
        <v>-0.16978623764729464</v>
      </c>
      <c r="H4" s="42">
        <f t="shared" si="1"/>
        <v>0.50884206315789493</v>
      </c>
      <c r="J4" s="50">
        <f>$K$19-3*$K$23</f>
        <v>-0.44553932654125178</v>
      </c>
      <c r="K4" s="51">
        <f>J4</f>
        <v>-0.44553932654125178</v>
      </c>
      <c r="L4" s="52">
        <f>COUNTIF(G:G,"&lt;="&amp;J4)</f>
        <v>0</v>
      </c>
      <c r="M4" s="52" t="str">
        <f>"Less than "&amp;TEXT(J4,"0.00%")</f>
        <v>Less than -44.55%</v>
      </c>
      <c r="N4" s="53">
        <f t="shared" ref="N4:N15" si="2">L4/$K$31</f>
        <v>0</v>
      </c>
      <c r="O4" s="54">
        <f>N4</f>
        <v>0</v>
      </c>
    </row>
    <row r="5" spans="1:15">
      <c r="A5" s="41">
        <v>42125</v>
      </c>
      <c r="B5">
        <v>69.599997999999999</v>
      </c>
      <c r="C5">
        <v>96.749001000000007</v>
      </c>
      <c r="D5">
        <v>61.5</v>
      </c>
      <c r="E5">
        <v>82.809997999999993</v>
      </c>
      <c r="F5">
        <v>82.809997999999993</v>
      </c>
      <c r="G5" s="42">
        <f t="shared" si="0"/>
        <v>0.37398370665339287</v>
      </c>
      <c r="H5" s="42">
        <f t="shared" si="1"/>
        <v>0.57315448780487821</v>
      </c>
      <c r="J5" s="55">
        <f>$K$19-2.4*$K$23</f>
        <v>-0.35584202857780156</v>
      </c>
      <c r="K5" s="56">
        <f>J5</f>
        <v>-0.35584202857780156</v>
      </c>
      <c r="L5" s="57">
        <f t="shared" ref="L5:L14" si="3">COUNTIFS(G:G,"&lt;="&amp;J5,G:G,"&gt;"&amp;J4)</f>
        <v>0</v>
      </c>
      <c r="M5" s="58" t="str">
        <f t="shared" ref="M5:M14" si="4">TEXT(J4,"0.00%")&amp;" to "&amp;TEXT(J5,"0.00%")</f>
        <v>-44.55% to -35.58%</v>
      </c>
      <c r="N5" s="59">
        <f t="shared" si="2"/>
        <v>0</v>
      </c>
      <c r="O5" s="60">
        <f>O4+N5</f>
        <v>0</v>
      </c>
    </row>
    <row r="6" spans="1:15">
      <c r="A6" s="41">
        <v>42156</v>
      </c>
      <c r="B6">
        <v>80.25</v>
      </c>
      <c r="C6">
        <v>82.5</v>
      </c>
      <c r="D6">
        <v>59.720001000000003</v>
      </c>
      <c r="E6">
        <v>60.27</v>
      </c>
      <c r="F6">
        <v>60.27</v>
      </c>
      <c r="G6" s="42">
        <f t="shared" si="0"/>
        <v>-0.11432773926549276</v>
      </c>
      <c r="H6" s="42">
        <f t="shared" si="1"/>
        <v>0.38144672837497096</v>
      </c>
      <c r="J6" s="55">
        <f>$K$19-1.8*$K$23</f>
        <v>-0.2661447306143514</v>
      </c>
      <c r="K6" s="56">
        <f t="shared" ref="K6:K14" si="5">J6</f>
        <v>-0.2661447306143514</v>
      </c>
      <c r="L6" s="57">
        <f t="shared" si="3"/>
        <v>5</v>
      </c>
      <c r="M6" s="58" t="str">
        <f t="shared" si="4"/>
        <v>-35.58% to -26.61%</v>
      </c>
      <c r="N6" s="59">
        <f t="shared" si="2"/>
        <v>4.5454545454545456E-2</v>
      </c>
      <c r="O6" s="60">
        <f t="shared" ref="O6:O15" si="6">O5+N6</f>
        <v>4.5454545454545456E-2</v>
      </c>
    </row>
    <row r="7" spans="1:15">
      <c r="A7" s="41">
        <v>42186</v>
      </c>
      <c r="B7">
        <v>60.75</v>
      </c>
      <c r="C7">
        <v>69.639999000000003</v>
      </c>
      <c r="D7">
        <v>48.209999000000003</v>
      </c>
      <c r="E7">
        <v>68.050003000000004</v>
      </c>
      <c r="F7">
        <v>68.050003000000004</v>
      </c>
      <c r="G7" s="42">
        <f t="shared" si="0"/>
        <v>0.36263524955216764</v>
      </c>
      <c r="H7" s="42">
        <f t="shared" si="1"/>
        <v>0.44451359561322534</v>
      </c>
      <c r="J7" s="55">
        <f>$K$19-1.2*$K$23</f>
        <v>-0.17644743265090118</v>
      </c>
      <c r="K7" s="56">
        <f t="shared" si="5"/>
        <v>-0.17644743265090118</v>
      </c>
      <c r="L7" s="57">
        <f t="shared" si="3"/>
        <v>6</v>
      </c>
      <c r="M7" s="58" t="str">
        <f t="shared" si="4"/>
        <v>-26.61% to -17.64%</v>
      </c>
      <c r="N7" s="59">
        <f t="shared" si="2"/>
        <v>5.4545454545454543E-2</v>
      </c>
      <c r="O7" s="60">
        <f t="shared" si="6"/>
        <v>0.1</v>
      </c>
    </row>
    <row r="8" spans="1:15">
      <c r="A8" s="41">
        <v>42217</v>
      </c>
      <c r="B8">
        <v>68.489998</v>
      </c>
      <c r="C8">
        <v>75.900002000000001</v>
      </c>
      <c r="D8">
        <v>41.5</v>
      </c>
      <c r="E8">
        <v>49.939999</v>
      </c>
      <c r="F8">
        <v>49.939999</v>
      </c>
      <c r="G8" s="42">
        <f>(F8-F9)/F9</f>
        <v>5.3586432338125212E-2</v>
      </c>
      <c r="H8" s="42">
        <f t="shared" si="1"/>
        <v>0.82891571084337345</v>
      </c>
      <c r="J8" s="55">
        <f>$K$19-0.6*$K$23</f>
        <v>-8.6750134687450964E-2</v>
      </c>
      <c r="K8" s="56">
        <f t="shared" si="5"/>
        <v>-8.6750134687450964E-2</v>
      </c>
      <c r="L8" s="57">
        <f t="shared" si="3"/>
        <v>17</v>
      </c>
      <c r="M8" s="58" t="str">
        <f t="shared" si="4"/>
        <v>-17.64% to -8.68%</v>
      </c>
      <c r="N8" s="59">
        <f t="shared" si="2"/>
        <v>0.15454545454545454</v>
      </c>
      <c r="O8" s="60">
        <f t="shared" si="6"/>
        <v>0.25454545454545452</v>
      </c>
    </row>
    <row r="9" spans="1:15">
      <c r="A9" s="41">
        <v>42248</v>
      </c>
      <c r="B9">
        <v>48.189999</v>
      </c>
      <c r="C9">
        <v>56.689999</v>
      </c>
      <c r="D9">
        <v>46.349997999999999</v>
      </c>
      <c r="E9">
        <v>47.400002000000001</v>
      </c>
      <c r="F9">
        <v>47.400002000000001</v>
      </c>
      <c r="G9" s="42">
        <f t="shared" si="0"/>
        <v>4.0158042571867461E-2</v>
      </c>
      <c r="H9" s="42">
        <f t="shared" si="1"/>
        <v>0.22308525234456322</v>
      </c>
      <c r="J9" s="55">
        <f>$K$19</f>
        <v>2.9471632759992383E-3</v>
      </c>
      <c r="K9" s="56">
        <f t="shared" si="5"/>
        <v>2.9471632759992383E-3</v>
      </c>
      <c r="L9" s="57">
        <f t="shared" si="3"/>
        <v>26</v>
      </c>
      <c r="M9" s="58" t="str">
        <f t="shared" si="4"/>
        <v>-8.68% to 0.29%</v>
      </c>
      <c r="N9" s="59">
        <f t="shared" si="2"/>
        <v>0.23636363636363636</v>
      </c>
      <c r="O9" s="60">
        <f t="shared" si="6"/>
        <v>0.49090909090909085</v>
      </c>
    </row>
    <row r="10" spans="1:15">
      <c r="A10" s="41">
        <v>42278</v>
      </c>
      <c r="B10">
        <v>47.25</v>
      </c>
      <c r="C10">
        <v>51.25</v>
      </c>
      <c r="D10">
        <v>41</v>
      </c>
      <c r="E10">
        <v>45.57</v>
      </c>
      <c r="F10">
        <v>45.57</v>
      </c>
      <c r="G10" s="42">
        <f t="shared" si="0"/>
        <v>-8.2698801247033712E-3</v>
      </c>
      <c r="H10" s="42">
        <f t="shared" si="1"/>
        <v>0.25</v>
      </c>
      <c r="J10" s="55">
        <f>$K$19+0.6*$K$23</f>
        <v>9.2644461239449444E-2</v>
      </c>
      <c r="K10" s="56">
        <f t="shared" si="5"/>
        <v>9.2644461239449444E-2</v>
      </c>
      <c r="L10" s="57">
        <f t="shared" si="3"/>
        <v>32</v>
      </c>
      <c r="M10" s="58" t="str">
        <f t="shared" si="4"/>
        <v>0.29% to 9.26%</v>
      </c>
      <c r="N10" s="59">
        <f t="shared" si="2"/>
        <v>0.29090909090909089</v>
      </c>
      <c r="O10" s="60">
        <f t="shared" si="6"/>
        <v>0.78181818181818175</v>
      </c>
    </row>
    <row r="11" spans="1:15">
      <c r="A11" s="41">
        <v>42309</v>
      </c>
      <c r="B11">
        <v>45.990001999999997</v>
      </c>
      <c r="C11">
        <v>53.5</v>
      </c>
      <c r="D11">
        <v>39.909999999999997</v>
      </c>
      <c r="E11">
        <v>45.950001</v>
      </c>
      <c r="F11">
        <v>45.950001</v>
      </c>
      <c r="G11" s="42">
        <f t="shared" si="0"/>
        <v>0.16035361920977878</v>
      </c>
      <c r="H11" s="42">
        <f t="shared" si="1"/>
        <v>0.340516161363067</v>
      </c>
      <c r="J11" s="55">
        <f>$K$19+1.2*$K$23</f>
        <v>0.18234175920289963</v>
      </c>
      <c r="K11" s="56">
        <f t="shared" si="5"/>
        <v>0.18234175920289963</v>
      </c>
      <c r="L11" s="57">
        <f t="shared" si="3"/>
        <v>13</v>
      </c>
      <c r="M11" s="58" t="str">
        <f t="shared" si="4"/>
        <v>9.26% to 18.23%</v>
      </c>
      <c r="N11" s="59">
        <f t="shared" si="2"/>
        <v>0.11818181818181818</v>
      </c>
      <c r="O11" s="60">
        <f t="shared" si="6"/>
        <v>0.89999999999999991</v>
      </c>
    </row>
    <row r="12" spans="1:15">
      <c r="A12" s="41">
        <v>42339</v>
      </c>
      <c r="B12">
        <v>46</v>
      </c>
      <c r="C12">
        <v>47</v>
      </c>
      <c r="D12">
        <v>37.599997999999999</v>
      </c>
      <c r="E12">
        <v>39.599997999999999</v>
      </c>
      <c r="F12">
        <v>39.599997999999999</v>
      </c>
      <c r="G12" s="42">
        <f t="shared" si="0"/>
        <v>0.14517049478481808</v>
      </c>
      <c r="H12" s="42">
        <f t="shared" si="1"/>
        <v>0.25000006648936524</v>
      </c>
      <c r="J12" s="55">
        <f>$K$19+1.8*$K$23</f>
        <v>0.27203905716634991</v>
      </c>
      <c r="K12" s="56">
        <f t="shared" si="5"/>
        <v>0.27203905716634991</v>
      </c>
      <c r="L12" s="57">
        <f t="shared" si="3"/>
        <v>7</v>
      </c>
      <c r="M12" s="58" t="str">
        <f t="shared" si="4"/>
        <v>18.23% to 27.20%</v>
      </c>
      <c r="N12" s="59">
        <f t="shared" si="2"/>
        <v>6.363636363636363E-2</v>
      </c>
      <c r="O12" s="60">
        <f t="shared" si="6"/>
        <v>0.96363636363636351</v>
      </c>
    </row>
    <row r="13" spans="1:15">
      <c r="A13" s="41">
        <v>42370</v>
      </c>
      <c r="B13">
        <v>38.5</v>
      </c>
      <c r="C13">
        <v>39.099997999999999</v>
      </c>
      <c r="D13">
        <v>30</v>
      </c>
      <c r="E13">
        <v>34.580002</v>
      </c>
      <c r="F13">
        <v>34.580002</v>
      </c>
      <c r="G13" s="42">
        <f t="shared" si="0"/>
        <v>-0.16934899905479223</v>
      </c>
      <c r="H13" s="42">
        <f t="shared" si="1"/>
        <v>0.30333326666666666</v>
      </c>
      <c r="J13" s="55">
        <f>$K$19+2.4*$K$23</f>
        <v>0.36173635512980007</v>
      </c>
      <c r="K13" s="56">
        <f t="shared" si="5"/>
        <v>0.36173635512980007</v>
      </c>
      <c r="L13" s="57">
        <f t="shared" si="3"/>
        <v>1</v>
      </c>
      <c r="M13" s="58" t="str">
        <f t="shared" si="4"/>
        <v>27.20% to 36.17%</v>
      </c>
      <c r="N13" s="59">
        <f t="shared" si="2"/>
        <v>9.0909090909090905E-3</v>
      </c>
      <c r="O13" s="60">
        <f t="shared" si="6"/>
        <v>0.97272727272727255</v>
      </c>
    </row>
    <row r="14" spans="1:15">
      <c r="A14" s="41">
        <v>42401</v>
      </c>
      <c r="B14">
        <v>34.029998999999997</v>
      </c>
      <c r="C14">
        <v>42.91</v>
      </c>
      <c r="D14">
        <v>31.6</v>
      </c>
      <c r="E14">
        <v>41.630001</v>
      </c>
      <c r="F14">
        <v>41.630001</v>
      </c>
      <c r="G14" s="42">
        <f t="shared" si="0"/>
        <v>0.11548770096463022</v>
      </c>
      <c r="H14" s="42">
        <f t="shared" si="1"/>
        <v>0.35791139240506314</v>
      </c>
      <c r="J14" s="55">
        <f>$K$19+3*$K$23</f>
        <v>0.45143365309325029</v>
      </c>
      <c r="K14" s="56">
        <f t="shared" si="5"/>
        <v>0.45143365309325029</v>
      </c>
      <c r="L14" s="57">
        <f t="shared" si="3"/>
        <v>2</v>
      </c>
      <c r="M14" s="58" t="str">
        <f t="shared" si="4"/>
        <v>36.17% to 45.14%</v>
      </c>
      <c r="N14" s="59">
        <f t="shared" si="2"/>
        <v>1.8181818181818181E-2</v>
      </c>
      <c r="O14" s="60">
        <f t="shared" si="6"/>
        <v>0.99090909090909074</v>
      </c>
    </row>
    <row r="15" spans="1:15" ht="14.65" thickBot="1">
      <c r="A15" s="41">
        <v>42430</v>
      </c>
      <c r="B15">
        <v>42.25</v>
      </c>
      <c r="C15">
        <v>43.990001999999997</v>
      </c>
      <c r="D15">
        <v>32.25</v>
      </c>
      <c r="E15">
        <v>37.32</v>
      </c>
      <c r="F15">
        <v>37.32</v>
      </c>
      <c r="G15" s="42">
        <f t="shared" si="0"/>
        <v>2.1905805038335079E-2</v>
      </c>
      <c r="H15" s="42">
        <f t="shared" si="1"/>
        <v>0.36403106976744176</v>
      </c>
      <c r="J15" s="61"/>
      <c r="K15" s="62" t="s">
        <v>119</v>
      </c>
      <c r="L15" s="62">
        <f>COUNTIF(G:G,"&gt;"&amp;J14)</f>
        <v>1</v>
      </c>
      <c r="M15" s="62" t="str">
        <f>"Greater than "&amp;TEXT(J14,"0.00%")</f>
        <v>Greater than 45.14%</v>
      </c>
      <c r="N15" s="63">
        <f t="shared" si="2"/>
        <v>9.0909090909090905E-3</v>
      </c>
      <c r="O15" s="64">
        <f t="shared" si="6"/>
        <v>0.99999999999999978</v>
      </c>
    </row>
    <row r="16" spans="1:15" ht="14.65" thickBot="1">
      <c r="A16" s="41">
        <v>42461</v>
      </c>
      <c r="B16">
        <v>36.849997999999999</v>
      </c>
      <c r="C16">
        <v>38.959999000000003</v>
      </c>
      <c r="D16">
        <v>35.229999999999997</v>
      </c>
      <c r="E16">
        <v>36.520000000000003</v>
      </c>
      <c r="F16">
        <v>36.520000000000003</v>
      </c>
      <c r="G16" s="42">
        <f t="shared" si="0"/>
        <v>-4.6475170926244584E-2</v>
      </c>
      <c r="H16" s="42">
        <f t="shared" si="1"/>
        <v>0.10587564575645776</v>
      </c>
      <c r="J16" s="65"/>
      <c r="K16" s="66"/>
      <c r="L16" s="66"/>
      <c r="M16" s="66"/>
      <c r="N16" s="66"/>
      <c r="O16" s="67"/>
    </row>
    <row r="17" spans="1:15">
      <c r="A17" s="41">
        <v>42491</v>
      </c>
      <c r="B17">
        <v>36.5</v>
      </c>
      <c r="C17">
        <v>38.554001</v>
      </c>
      <c r="D17">
        <v>33.099997999999999</v>
      </c>
      <c r="E17">
        <v>38.299999</v>
      </c>
      <c r="F17">
        <v>38.299999</v>
      </c>
      <c r="G17" s="42">
        <f t="shared" si="0"/>
        <v>5.1331292890474882E-2</v>
      </c>
      <c r="H17" s="42">
        <f t="shared" si="1"/>
        <v>0.16477351448782565</v>
      </c>
      <c r="J17" s="68" t="s">
        <v>120</v>
      </c>
      <c r="K17" s="69"/>
      <c r="L17" s="66"/>
      <c r="M17" s="66"/>
      <c r="N17" s="66"/>
      <c r="O17" s="67"/>
    </row>
    <row r="18" spans="1:15">
      <c r="A18" s="41">
        <v>42522</v>
      </c>
      <c r="B18">
        <v>38</v>
      </c>
      <c r="C18">
        <v>38.740001999999997</v>
      </c>
      <c r="D18">
        <v>33.340000000000003</v>
      </c>
      <c r="E18">
        <v>36.43</v>
      </c>
      <c r="F18">
        <v>36.43</v>
      </c>
      <c r="G18" s="42">
        <f t="shared" si="0"/>
        <v>-8.9477585077609931E-2</v>
      </c>
      <c r="H18" s="42">
        <f t="shared" si="1"/>
        <v>0.16196766646670646</v>
      </c>
      <c r="J18" s="65"/>
      <c r="K18" s="66"/>
      <c r="L18" s="66"/>
      <c r="M18" s="66"/>
      <c r="N18" s="66"/>
      <c r="O18" s="67"/>
    </row>
    <row r="19" spans="1:15">
      <c r="A19" s="41">
        <v>42552</v>
      </c>
      <c r="B19">
        <v>36.310001</v>
      </c>
      <c r="C19">
        <v>41.478999999999999</v>
      </c>
      <c r="D19">
        <v>35.450001</v>
      </c>
      <c r="E19">
        <v>40.009998000000003</v>
      </c>
      <c r="F19">
        <v>40.009998000000003</v>
      </c>
      <c r="G19" s="42">
        <f t="shared" si="0"/>
        <v>0.13342773749087083</v>
      </c>
      <c r="H19" s="42">
        <f t="shared" si="1"/>
        <v>0.17007048885555739</v>
      </c>
      <c r="J19" s="65" t="s">
        <v>121</v>
      </c>
      <c r="K19" s="70">
        <f>AVERAGE(G:G)</f>
        <v>2.9471632759992383E-3</v>
      </c>
      <c r="L19" s="66"/>
      <c r="M19" s="66"/>
      <c r="N19" s="66"/>
      <c r="O19" s="67"/>
    </row>
    <row r="20" spans="1:15">
      <c r="A20" s="41">
        <v>42583</v>
      </c>
      <c r="B20">
        <v>40.020000000000003</v>
      </c>
      <c r="C20">
        <v>42.939999</v>
      </c>
      <c r="D20">
        <v>34.93</v>
      </c>
      <c r="E20">
        <v>35.299999</v>
      </c>
      <c r="F20">
        <v>35.299999</v>
      </c>
      <c r="G20" s="42">
        <f t="shared" si="0"/>
        <v>1.8171359571465796E-2</v>
      </c>
      <c r="H20" s="42">
        <f t="shared" si="1"/>
        <v>0.22931574577726885</v>
      </c>
      <c r="J20" s="65" t="s">
        <v>122</v>
      </c>
      <c r="K20" s="70">
        <f>_xlfn.STDEV.S(G:G)/SQRT(COUNT(G:G))</f>
        <v>1.4253836327427438E-2</v>
      </c>
      <c r="L20" s="71"/>
      <c r="M20" s="66"/>
      <c r="N20" s="66"/>
      <c r="O20" s="67"/>
    </row>
    <row r="21" spans="1:15">
      <c r="A21" s="41">
        <v>42614</v>
      </c>
      <c r="B21">
        <v>35.299999</v>
      </c>
      <c r="C21">
        <v>37.150002000000001</v>
      </c>
      <c r="D21">
        <v>33.759998000000003</v>
      </c>
      <c r="E21">
        <v>34.669998</v>
      </c>
      <c r="F21">
        <v>34.669998</v>
      </c>
      <c r="G21" s="42">
        <f t="shared" si="0"/>
        <v>8.7174634279543251E-2</v>
      </c>
      <c r="H21" s="42">
        <f t="shared" si="1"/>
        <v>0.10041481637528525</v>
      </c>
      <c r="J21" s="65" t="s">
        <v>123</v>
      </c>
      <c r="K21" s="70">
        <f>MEDIAN(G:G)</f>
        <v>8.415150201840936E-3</v>
      </c>
      <c r="L21" s="66"/>
      <c r="M21" s="66"/>
      <c r="N21" s="66"/>
      <c r="O21" s="67"/>
    </row>
    <row r="22" spans="1:15">
      <c r="A22" s="41">
        <v>42644</v>
      </c>
      <c r="B22">
        <v>34.669998</v>
      </c>
      <c r="C22">
        <v>34.970001000000003</v>
      </c>
      <c r="D22">
        <v>30.902999999999999</v>
      </c>
      <c r="E22">
        <v>31.889999</v>
      </c>
      <c r="F22">
        <v>31.889999</v>
      </c>
      <c r="G22" s="42">
        <f t="shared" si="0"/>
        <v>-0.13530373819675331</v>
      </c>
      <c r="H22" s="42">
        <f t="shared" si="1"/>
        <v>0.13160537811862941</v>
      </c>
      <c r="J22" s="65" t="s">
        <v>124</v>
      </c>
      <c r="K22" s="70" t="e">
        <f>MODE(G:G)</f>
        <v>#N/A</v>
      </c>
      <c r="L22" s="66"/>
      <c r="M22" s="66"/>
      <c r="N22" s="66"/>
      <c r="O22" s="67"/>
    </row>
    <row r="23" spans="1:15">
      <c r="A23" s="41">
        <v>42675</v>
      </c>
      <c r="B23">
        <v>31.889999</v>
      </c>
      <c r="C23">
        <v>39.509998000000003</v>
      </c>
      <c r="D23">
        <v>31.500999</v>
      </c>
      <c r="E23">
        <v>36.880001</v>
      </c>
      <c r="F23">
        <v>36.880001</v>
      </c>
      <c r="G23" s="42">
        <f t="shared" si="0"/>
        <v>3.0455433627956687E-2</v>
      </c>
      <c r="H23" s="42">
        <f t="shared" si="1"/>
        <v>0.25424587328166964</v>
      </c>
      <c r="J23" s="65" t="s">
        <v>125</v>
      </c>
      <c r="K23" s="70">
        <f>_xlfn.STDEV.S(G:G)</f>
        <v>0.14949549660575034</v>
      </c>
      <c r="L23" s="66"/>
      <c r="M23" s="66"/>
      <c r="N23" s="66"/>
      <c r="O23" s="67"/>
    </row>
    <row r="24" spans="1:15">
      <c r="A24" s="41">
        <v>42705</v>
      </c>
      <c r="B24">
        <v>36.830002</v>
      </c>
      <c r="C24">
        <v>39.369999</v>
      </c>
      <c r="D24">
        <v>34.764999000000003</v>
      </c>
      <c r="E24">
        <v>35.790000999999997</v>
      </c>
      <c r="F24">
        <v>35.790000999999997</v>
      </c>
      <c r="G24" s="42">
        <f t="shared" si="0"/>
        <v>1.3593882367774413E-2</v>
      </c>
      <c r="H24" s="42">
        <f t="shared" si="1"/>
        <v>0.13246081209437102</v>
      </c>
      <c r="J24" s="65" t="s">
        <v>126</v>
      </c>
      <c r="K24" s="70">
        <f>_xlfn.VAR.S(G:G)</f>
        <v>2.2348903505399909E-2</v>
      </c>
      <c r="L24" s="66"/>
      <c r="M24" s="66"/>
      <c r="N24" s="66"/>
      <c r="O24" s="67"/>
    </row>
    <row r="25" spans="1:15">
      <c r="A25" s="41">
        <v>42736</v>
      </c>
      <c r="B25">
        <v>36.159999999999997</v>
      </c>
      <c r="C25">
        <v>39.700001</v>
      </c>
      <c r="D25">
        <v>34.259998000000003</v>
      </c>
      <c r="E25">
        <v>35.310001</v>
      </c>
      <c r="F25">
        <v>35.310001</v>
      </c>
      <c r="G25" s="42">
        <f t="shared" si="0"/>
        <v>-1.4513005050906795E-2</v>
      </c>
      <c r="H25" s="42">
        <f t="shared" si="1"/>
        <v>0.15878585281878874</v>
      </c>
      <c r="J25" s="65" t="s">
        <v>127</v>
      </c>
      <c r="K25" s="72">
        <f>KURT(G:G)</f>
        <v>1.4283106610829788</v>
      </c>
      <c r="L25" s="66"/>
      <c r="M25" s="66"/>
      <c r="N25" s="66"/>
      <c r="O25" s="67"/>
    </row>
    <row r="26" spans="1:15">
      <c r="A26" s="41">
        <v>42767</v>
      </c>
      <c r="B26">
        <v>35.340000000000003</v>
      </c>
      <c r="C26">
        <v>37.650002000000001</v>
      </c>
      <c r="D26">
        <v>34.389999000000003</v>
      </c>
      <c r="E26">
        <v>35.830002</v>
      </c>
      <c r="F26">
        <v>35.830002</v>
      </c>
      <c r="G26" s="42">
        <f t="shared" si="0"/>
        <v>7.2754486661407977E-2</v>
      </c>
      <c r="H26" s="42">
        <f t="shared" si="1"/>
        <v>9.4795088537222613E-2</v>
      </c>
      <c r="J26" s="65" t="s">
        <v>128</v>
      </c>
      <c r="K26" s="72">
        <f>SKEW(G:G)</f>
        <v>0.5150355949190204</v>
      </c>
      <c r="L26" s="66"/>
      <c r="M26" s="66"/>
      <c r="N26" s="66"/>
      <c r="O26" s="67"/>
    </row>
    <row r="27" spans="1:15">
      <c r="A27" s="41">
        <v>42795</v>
      </c>
      <c r="B27">
        <v>36.099997999999999</v>
      </c>
      <c r="C27">
        <v>36.75</v>
      </c>
      <c r="D27">
        <v>30.360001</v>
      </c>
      <c r="E27">
        <v>33.400002000000001</v>
      </c>
      <c r="F27">
        <v>33.400002000000001</v>
      </c>
      <c r="G27" s="42">
        <f t="shared" si="0"/>
        <v>-1.5910342248389567E-2</v>
      </c>
      <c r="H27" s="42">
        <f t="shared" si="1"/>
        <v>0.21047426842970129</v>
      </c>
      <c r="J27" s="65" t="s">
        <v>116</v>
      </c>
      <c r="K27" s="70">
        <f>K29-K28</f>
        <v>0.88263655188405998</v>
      </c>
      <c r="L27" s="66"/>
      <c r="M27" s="66"/>
      <c r="N27" s="66"/>
      <c r="O27" s="67"/>
    </row>
    <row r="28" spans="1:15">
      <c r="A28" s="41">
        <v>42826</v>
      </c>
      <c r="B28">
        <v>33.490001999999997</v>
      </c>
      <c r="C28">
        <v>34.740001999999997</v>
      </c>
      <c r="D28">
        <v>32.070999</v>
      </c>
      <c r="E28">
        <v>33.939999</v>
      </c>
      <c r="F28">
        <v>33.939999</v>
      </c>
      <c r="G28" s="42">
        <f t="shared" si="0"/>
        <v>-8.3198298217179972E-2</v>
      </c>
      <c r="H28" s="42">
        <f t="shared" si="1"/>
        <v>8.3221698207779443E-2</v>
      </c>
      <c r="J28" s="65" t="s">
        <v>129</v>
      </c>
      <c r="K28" s="70">
        <f>MIN(G:G)</f>
        <v>-0.30764991038891626</v>
      </c>
      <c r="L28" s="66"/>
      <c r="M28" s="66"/>
      <c r="N28" s="66"/>
      <c r="O28" s="67"/>
    </row>
    <row r="29" spans="1:15">
      <c r="A29" s="41">
        <v>42856</v>
      </c>
      <c r="B29">
        <v>34.009998000000003</v>
      </c>
      <c r="C29">
        <v>38.277000000000001</v>
      </c>
      <c r="D29">
        <v>32.400002000000001</v>
      </c>
      <c r="E29">
        <v>37.020000000000003</v>
      </c>
      <c r="F29">
        <v>37.020000000000003</v>
      </c>
      <c r="G29" s="42">
        <f t="shared" si="0"/>
        <v>6.1353180580470831E-2</v>
      </c>
      <c r="H29" s="42">
        <f t="shared" si="1"/>
        <v>0.18138881596365333</v>
      </c>
      <c r="J29" s="65" t="s">
        <v>130</v>
      </c>
      <c r="K29" s="70">
        <f>MAX(G:G)</f>
        <v>0.57498664149514367</v>
      </c>
      <c r="L29" s="66"/>
      <c r="M29" s="66"/>
      <c r="N29" s="66"/>
      <c r="O29" s="67"/>
    </row>
    <row r="30" spans="1:15">
      <c r="A30" s="41">
        <v>42887</v>
      </c>
      <c r="B30">
        <v>37.240001999999997</v>
      </c>
      <c r="C30">
        <v>39.57</v>
      </c>
      <c r="D30">
        <v>34.599997999999999</v>
      </c>
      <c r="E30">
        <v>34.880001</v>
      </c>
      <c r="F30">
        <v>34.880001</v>
      </c>
      <c r="G30" s="42">
        <f t="shared" si="0"/>
        <v>5.6649594465288874E-2</v>
      </c>
      <c r="H30" s="42">
        <f t="shared" si="1"/>
        <v>0.14364168460356561</v>
      </c>
      <c r="J30" s="65" t="s">
        <v>131</v>
      </c>
      <c r="K30" s="72">
        <f>SUM(G:G)</f>
        <v>0.32418796035991621</v>
      </c>
      <c r="L30" s="66"/>
      <c r="M30" s="66"/>
      <c r="N30" s="66"/>
      <c r="O30" s="67"/>
    </row>
    <row r="31" spans="1:15" ht="14.65" thickBot="1">
      <c r="A31" s="41">
        <v>42917</v>
      </c>
      <c r="B31">
        <v>35.049999</v>
      </c>
      <c r="C31">
        <v>35.68</v>
      </c>
      <c r="D31">
        <v>32.669998</v>
      </c>
      <c r="E31">
        <v>33.009998000000003</v>
      </c>
      <c r="F31">
        <v>33.009998000000003</v>
      </c>
      <c r="G31" s="42">
        <f t="shared" si="0"/>
        <v>6.7593725743855151E-2</v>
      </c>
      <c r="H31" s="42">
        <f t="shared" si="1"/>
        <v>9.2133522628314826E-2</v>
      </c>
      <c r="J31" s="43" t="s">
        <v>87</v>
      </c>
      <c r="K31" s="44">
        <f>COUNT(G:G)</f>
        <v>110</v>
      </c>
      <c r="L31" s="66"/>
      <c r="M31" s="66"/>
      <c r="N31" s="66"/>
      <c r="O31" s="67"/>
    </row>
    <row r="32" spans="1:15" ht="14.65" thickBot="1">
      <c r="A32" s="41">
        <v>42948</v>
      </c>
      <c r="B32">
        <v>33.279998999999997</v>
      </c>
      <c r="C32">
        <v>34.229999999999997</v>
      </c>
      <c r="D32">
        <v>30.309999000000001</v>
      </c>
      <c r="E32">
        <v>30.92</v>
      </c>
      <c r="F32">
        <v>30.92</v>
      </c>
      <c r="G32" s="42">
        <f t="shared" si="0"/>
        <v>-6.9515498043936058E-2</v>
      </c>
      <c r="H32" s="42">
        <f t="shared" si="1"/>
        <v>0.12933029130090026</v>
      </c>
      <c r="J32" s="65"/>
      <c r="K32" s="66"/>
      <c r="L32" s="66"/>
      <c r="M32" s="66"/>
      <c r="N32" s="66"/>
      <c r="O32" s="67"/>
    </row>
    <row r="33" spans="1:15">
      <c r="A33" s="41">
        <v>42979</v>
      </c>
      <c r="B33">
        <v>31</v>
      </c>
      <c r="C33">
        <v>34</v>
      </c>
      <c r="D33">
        <v>30.120000999999998</v>
      </c>
      <c r="E33">
        <v>33.229999999999997</v>
      </c>
      <c r="F33">
        <v>33.229999999999997</v>
      </c>
      <c r="G33" s="42">
        <f t="shared" si="0"/>
        <v>-0.12460482414659721</v>
      </c>
      <c r="H33" s="42">
        <f t="shared" si="1"/>
        <v>0.12881802361161945</v>
      </c>
      <c r="J33" s="73"/>
      <c r="K33" s="74" t="s">
        <v>132</v>
      </c>
      <c r="L33" s="74" t="s">
        <v>87</v>
      </c>
      <c r="M33" s="74" t="s">
        <v>133</v>
      </c>
      <c r="N33" s="75" t="s">
        <v>134</v>
      </c>
      <c r="O33" s="67"/>
    </row>
    <row r="34" spans="1:15">
      <c r="A34" s="41">
        <v>43009</v>
      </c>
      <c r="B34">
        <v>33.130001</v>
      </c>
      <c r="C34">
        <v>38.270000000000003</v>
      </c>
      <c r="D34">
        <v>32.700001</v>
      </c>
      <c r="E34">
        <v>37.959999000000003</v>
      </c>
      <c r="F34">
        <v>37.959999000000003</v>
      </c>
      <c r="G34" s="42">
        <f t="shared" si="0"/>
        <v>-7.6399006150803125E-2</v>
      </c>
      <c r="H34" s="42">
        <f t="shared" si="1"/>
        <v>0.17033635564720634</v>
      </c>
      <c r="J34" s="76" t="s">
        <v>135</v>
      </c>
      <c r="K34" s="59">
        <f>AVERAGEIF(G:G,"&gt;0")</f>
        <v>0.11154134768215813</v>
      </c>
      <c r="L34" s="57">
        <f>COUNTIF(G:G,"&gt;0")</f>
        <v>57</v>
      </c>
      <c r="M34" s="59">
        <f>L34/$K$31</f>
        <v>0.51818181818181819</v>
      </c>
      <c r="N34" s="60">
        <f>M34*K34</f>
        <v>5.7798698344391032E-2</v>
      </c>
      <c r="O34" s="67"/>
    </row>
    <row r="35" spans="1:15">
      <c r="A35" s="41">
        <v>43040</v>
      </c>
      <c r="B35">
        <v>37.880001</v>
      </c>
      <c r="C35">
        <v>41.240001999999997</v>
      </c>
      <c r="D35">
        <v>35.43</v>
      </c>
      <c r="E35">
        <v>41.099997999999999</v>
      </c>
      <c r="F35">
        <v>41.099997999999999</v>
      </c>
      <c r="G35" s="42">
        <f t="shared" si="0"/>
        <v>-4.8611179430296796E-2</v>
      </c>
      <c r="H35" s="42">
        <f t="shared" si="1"/>
        <v>0.16398537962178936</v>
      </c>
      <c r="J35" s="76" t="s">
        <v>136</v>
      </c>
      <c r="K35" s="59">
        <f>AVERAGEIF(G:G,"&lt;0")</f>
        <v>-0.11603209341390576</v>
      </c>
      <c r="L35" s="57">
        <f>COUNTIF(G:G,"&lt;0")</f>
        <v>52</v>
      </c>
      <c r="M35" s="59">
        <f>L35/$K$31</f>
        <v>0.47272727272727272</v>
      </c>
      <c r="N35" s="60">
        <f t="shared" ref="N35:N36" si="7">M35*K35</f>
        <v>-5.4851535068391813E-2</v>
      </c>
      <c r="O35" s="67"/>
    </row>
    <row r="36" spans="1:15" ht="14.65" thickBot="1">
      <c r="A36" s="41">
        <v>43070</v>
      </c>
      <c r="B36">
        <v>41</v>
      </c>
      <c r="C36">
        <v>46.900002000000001</v>
      </c>
      <c r="D36">
        <v>39.551997999999998</v>
      </c>
      <c r="E36">
        <v>43.200001</v>
      </c>
      <c r="F36">
        <v>43.200001</v>
      </c>
      <c r="G36" s="42">
        <f t="shared" si="0"/>
        <v>-1.166776508047971E-2</v>
      </c>
      <c r="H36" s="42">
        <f t="shared" si="1"/>
        <v>0.1857808548635142</v>
      </c>
      <c r="J36" s="77" t="s">
        <v>137</v>
      </c>
      <c r="K36" s="62">
        <v>0</v>
      </c>
      <c r="L36" s="62">
        <f>COUNTIF(G:G,"0")</f>
        <v>1</v>
      </c>
      <c r="M36" s="63">
        <f>L36/$K$31</f>
        <v>9.0909090909090905E-3</v>
      </c>
      <c r="N36" s="64">
        <f t="shared" si="7"/>
        <v>0</v>
      </c>
      <c r="O36" s="67"/>
    </row>
    <row r="37" spans="1:15" ht="14.65" thickBot="1">
      <c r="A37" s="41">
        <v>43101</v>
      </c>
      <c r="B37">
        <v>43.369999</v>
      </c>
      <c r="C37">
        <v>47.389999000000003</v>
      </c>
      <c r="D37">
        <v>42.259998000000003</v>
      </c>
      <c r="E37">
        <v>43.709999000000003</v>
      </c>
      <c r="F37">
        <v>43.709999000000003</v>
      </c>
      <c r="G37" s="42">
        <f t="shared" si="0"/>
        <v>0.12105659804787922</v>
      </c>
      <c r="H37" s="42">
        <f t="shared" si="1"/>
        <v>0.12139141606206418</v>
      </c>
      <c r="J37" s="65"/>
      <c r="K37" s="66"/>
      <c r="L37" s="66"/>
      <c r="M37" s="66"/>
      <c r="N37" s="66"/>
      <c r="O37" s="67"/>
    </row>
    <row r="38" spans="1:15">
      <c r="A38" s="41">
        <v>43132</v>
      </c>
      <c r="B38">
        <v>43.490001999999997</v>
      </c>
      <c r="C38">
        <v>43.490001999999997</v>
      </c>
      <c r="D38">
        <v>36.580002</v>
      </c>
      <c r="E38">
        <v>38.990001999999997</v>
      </c>
      <c r="F38">
        <v>38.990001999999997</v>
      </c>
      <c r="G38" s="42">
        <f t="shared" si="0"/>
        <v>-6.3415780364742325E-2</v>
      </c>
      <c r="H38" s="42">
        <f t="shared" si="1"/>
        <v>0.18890102849092236</v>
      </c>
      <c r="J38" s="78" t="s">
        <v>138</v>
      </c>
      <c r="K38" s="74" t="s">
        <v>139</v>
      </c>
      <c r="L38" s="74" t="s">
        <v>140</v>
      </c>
      <c r="M38" s="74" t="s">
        <v>141</v>
      </c>
      <c r="N38" s="74" t="s">
        <v>142</v>
      </c>
      <c r="O38" s="75" t="s">
        <v>143</v>
      </c>
    </row>
    <row r="39" spans="1:15">
      <c r="A39" s="41">
        <v>43160</v>
      </c>
      <c r="B39">
        <v>38.869999</v>
      </c>
      <c r="C39">
        <v>42.990001999999997</v>
      </c>
      <c r="D39">
        <v>37.950001</v>
      </c>
      <c r="E39">
        <v>41.630001</v>
      </c>
      <c r="F39">
        <v>41.630001</v>
      </c>
      <c r="G39" s="42">
        <f t="shared" si="0"/>
        <v>-0.1256038620961171</v>
      </c>
      <c r="H39" s="42">
        <f t="shared" si="1"/>
        <v>0.13280634696162449</v>
      </c>
      <c r="J39" s="79">
        <v>1</v>
      </c>
      <c r="K39" s="59">
        <f>$K$19+($J39*$K$23)</f>
        <v>0.15244265988174957</v>
      </c>
      <c r="L39" s="59">
        <f>$K$19-($J39*$K$23)</f>
        <v>-0.14654833332975112</v>
      </c>
      <c r="M39" s="57">
        <f>COUNTIFS(G:G,"&lt;"&amp;K39,G:G,"&gt;"&amp;L39)</f>
        <v>78</v>
      </c>
      <c r="N39" s="59">
        <f>M39/$K$31</f>
        <v>0.70909090909090911</v>
      </c>
      <c r="O39" s="60">
        <v>0.68269999999999997</v>
      </c>
    </row>
    <row r="40" spans="1:15">
      <c r="A40" s="41">
        <v>43191</v>
      </c>
      <c r="B40">
        <v>41.34</v>
      </c>
      <c r="C40">
        <v>48.209999000000003</v>
      </c>
      <c r="D40">
        <v>40.479999999999997</v>
      </c>
      <c r="E40">
        <v>47.610000999999997</v>
      </c>
      <c r="F40">
        <v>47.610000999999997</v>
      </c>
      <c r="G40" s="42">
        <f t="shared" si="0"/>
        <v>-0.20144243880312718</v>
      </c>
      <c r="H40" s="42">
        <f t="shared" si="1"/>
        <v>0.19095847332015828</v>
      </c>
      <c r="J40" s="79">
        <v>2</v>
      </c>
      <c r="K40" s="59">
        <f>$K$19+($J40*$K$23)</f>
        <v>0.30193815648749994</v>
      </c>
      <c r="L40" s="59">
        <f>$K$19-($J40*$K$23)</f>
        <v>-0.29604382993550143</v>
      </c>
      <c r="M40" s="57">
        <f>COUNTIFS(G:G,"&lt;"&amp;K40,G:G,"&gt;"&amp;L40)</f>
        <v>105</v>
      </c>
      <c r="N40" s="59">
        <f>M40/$K$31</f>
        <v>0.95454545454545459</v>
      </c>
      <c r="O40" s="60">
        <v>0.95450000000000002</v>
      </c>
    </row>
    <row r="41" spans="1:15" ht="14.65" thickBot="1">
      <c r="A41" s="41">
        <v>43221</v>
      </c>
      <c r="B41">
        <v>47.27</v>
      </c>
      <c r="C41">
        <v>62.540000999999997</v>
      </c>
      <c r="D41">
        <v>46</v>
      </c>
      <c r="E41">
        <v>59.619999</v>
      </c>
      <c r="F41">
        <v>59.619999</v>
      </c>
      <c r="G41" s="42">
        <f t="shared" si="0"/>
        <v>-9.9123617407071721E-2</v>
      </c>
      <c r="H41" s="42">
        <f t="shared" si="1"/>
        <v>0.3595652391304347</v>
      </c>
      <c r="J41" s="80">
        <v>3</v>
      </c>
      <c r="K41" s="81">
        <f>$K$19+($J41*$K$23)</f>
        <v>0.45143365309325029</v>
      </c>
      <c r="L41" s="81">
        <f>$K$19-($J41*$K$23)</f>
        <v>-0.44553932654125178</v>
      </c>
      <c r="M41" s="82">
        <f>COUNTIFS(G:G,"&lt;"&amp;K41,G:G,"&gt;"&amp;L41)</f>
        <v>109</v>
      </c>
      <c r="N41" s="81">
        <f>M41/$K$31</f>
        <v>0.99090909090909096</v>
      </c>
      <c r="O41" s="83">
        <v>0.99729999999999996</v>
      </c>
    </row>
    <row r="42" spans="1:15" ht="14.65" thickBot="1">
      <c r="A42" s="41">
        <v>43252</v>
      </c>
      <c r="B42">
        <v>60</v>
      </c>
      <c r="C42">
        <v>69.959998999999996</v>
      </c>
      <c r="D42">
        <v>59.32</v>
      </c>
      <c r="E42">
        <v>66.180000000000007</v>
      </c>
      <c r="F42">
        <v>66.180000000000007</v>
      </c>
      <c r="G42" s="42">
        <f t="shared" si="0"/>
        <v>6.1767974915194236E-2</v>
      </c>
      <c r="H42" s="42">
        <f t="shared" si="1"/>
        <v>0.17936613283884012</v>
      </c>
      <c r="J42" s="84" t="s">
        <v>144</v>
      </c>
      <c r="K42" s="85"/>
      <c r="L42" s="85"/>
      <c r="M42" s="85"/>
      <c r="N42" s="85"/>
      <c r="O42" s="86"/>
    </row>
    <row r="43" spans="1:15">
      <c r="A43" s="41">
        <v>43282</v>
      </c>
      <c r="B43">
        <v>66.120002999999997</v>
      </c>
      <c r="C43">
        <v>70.120002999999997</v>
      </c>
      <c r="D43">
        <v>59.75</v>
      </c>
      <c r="E43">
        <v>62.330002</v>
      </c>
      <c r="F43">
        <v>62.330002</v>
      </c>
      <c r="G43" s="42">
        <f t="shared" si="0"/>
        <v>3.1100098741106721E-2</v>
      </c>
      <c r="H43" s="42">
        <f t="shared" si="1"/>
        <v>0.17355653556485351</v>
      </c>
      <c r="J43" s="87">
        <v>0.01</v>
      </c>
      <c r="K43" s="88">
        <f>_xlfn.PERCENTILE.INC(G:G,J43)</f>
        <v>-0.2892549403395927</v>
      </c>
      <c r="L43" s="89">
        <v>0.2</v>
      </c>
      <c r="M43" s="88">
        <f>_xlfn.PERCENTILE.INC(G:G,L43)</f>
        <v>-0.12239802979316919</v>
      </c>
      <c r="N43" s="89">
        <v>0.85</v>
      </c>
      <c r="O43" s="90">
        <f t="shared" ref="O43:O57" si="8">_xlfn.PERCENTILE.INC(G:G,N43)</f>
        <v>0.13459988944329787</v>
      </c>
    </row>
    <row r="44" spans="1:15">
      <c r="A44" s="41">
        <v>43313</v>
      </c>
      <c r="B44">
        <v>61.93</v>
      </c>
      <c r="C44">
        <v>64.589995999999999</v>
      </c>
      <c r="D44">
        <v>55.099997999999999</v>
      </c>
      <c r="E44">
        <v>60.450001</v>
      </c>
      <c r="F44">
        <v>60.450001</v>
      </c>
      <c r="G44" s="42">
        <f t="shared" si="0"/>
        <v>-4.0628425349259693E-2</v>
      </c>
      <c r="H44" s="42">
        <f t="shared" si="1"/>
        <v>0.17223227485416606</v>
      </c>
      <c r="J44" s="91">
        <v>0.02</v>
      </c>
      <c r="K44" s="92">
        <f>_xlfn.PERCENTILE.INC(G:G,J44)</f>
        <v>-0.28564865932147848</v>
      </c>
      <c r="L44" s="93">
        <v>0.25</v>
      </c>
      <c r="M44" s="92">
        <f t="shared" ref="M44:M55" si="9">_xlfn.PERCENTILE.INC(G:G,L44)</f>
        <v>-8.7907763362502445E-2</v>
      </c>
      <c r="N44" s="93">
        <v>0.86</v>
      </c>
      <c r="O44" s="94">
        <f t="shared" si="8"/>
        <v>0.14246317009495446</v>
      </c>
    </row>
    <row r="45" spans="1:15">
      <c r="A45" s="41">
        <v>43344</v>
      </c>
      <c r="B45">
        <v>60.490001999999997</v>
      </c>
      <c r="C45">
        <v>63.470001000000003</v>
      </c>
      <c r="D45">
        <v>56.189999</v>
      </c>
      <c r="E45">
        <v>63.009998000000003</v>
      </c>
      <c r="F45">
        <v>63.009998000000003</v>
      </c>
      <c r="G45" s="42">
        <f t="shared" si="0"/>
        <v>0.19134050276688414</v>
      </c>
      <c r="H45" s="42">
        <f t="shared" si="1"/>
        <v>0.12956045790283788</v>
      </c>
      <c r="J45" s="91">
        <v>0.03</v>
      </c>
      <c r="K45" s="92">
        <f t="shared" ref="K45:K57" si="10">_xlfn.PERCENTILE.INC(G:G,J45)</f>
        <v>-0.27142394288147415</v>
      </c>
      <c r="L45" s="93">
        <v>0.3</v>
      </c>
      <c r="M45" s="92">
        <f t="shared" si="9"/>
        <v>-6.4729184198239739E-2</v>
      </c>
      <c r="N45" s="93">
        <v>0.87</v>
      </c>
      <c r="O45" s="94">
        <f t="shared" si="8"/>
        <v>0.1551226648824014</v>
      </c>
    </row>
    <row r="46" spans="1:15">
      <c r="A46" s="41">
        <v>43374</v>
      </c>
      <c r="B46">
        <v>62.990001999999997</v>
      </c>
      <c r="C46">
        <v>63.32</v>
      </c>
      <c r="D46">
        <v>49.23</v>
      </c>
      <c r="E46">
        <v>52.889999000000003</v>
      </c>
      <c r="F46">
        <v>52.889999000000003</v>
      </c>
      <c r="G46" s="42">
        <f t="shared" si="0"/>
        <v>-4.7884789340860233E-2</v>
      </c>
      <c r="H46" s="42">
        <f t="shared" si="1"/>
        <v>0.28620759699370313</v>
      </c>
      <c r="J46" s="91">
        <v>0.04</v>
      </c>
      <c r="K46" s="92">
        <f t="shared" si="10"/>
        <v>-0.26361910689741047</v>
      </c>
      <c r="L46" s="93">
        <v>0.35</v>
      </c>
      <c r="M46" s="92">
        <f t="shared" si="9"/>
        <v>-4.6257436760362189E-2</v>
      </c>
      <c r="N46" s="93">
        <v>0.88</v>
      </c>
      <c r="O46" s="94">
        <f t="shared" si="8"/>
        <v>0.15881842863979362</v>
      </c>
    </row>
    <row r="47" spans="1:15">
      <c r="A47" s="41">
        <v>43405</v>
      </c>
      <c r="B47">
        <v>53.23</v>
      </c>
      <c r="C47">
        <v>55.77</v>
      </c>
      <c r="D47">
        <v>46.310001</v>
      </c>
      <c r="E47">
        <v>55.549999</v>
      </c>
      <c r="F47">
        <v>55.549999</v>
      </c>
      <c r="G47" s="42">
        <f t="shared" si="0"/>
        <v>0.22302953425933661</v>
      </c>
      <c r="H47" s="42">
        <f t="shared" si="1"/>
        <v>0.2042755084371517</v>
      </c>
      <c r="J47" s="91">
        <v>0.05</v>
      </c>
      <c r="K47" s="92">
        <f t="shared" si="10"/>
        <v>-0.25006596964165306</v>
      </c>
      <c r="L47" s="93">
        <v>0.4</v>
      </c>
      <c r="M47" s="92">
        <f t="shared" si="9"/>
        <v>-3.379902192121545E-2</v>
      </c>
      <c r="N47" s="93">
        <v>0.89</v>
      </c>
      <c r="O47" s="94">
        <f t="shared" si="8"/>
        <v>0.16049139369583043</v>
      </c>
    </row>
    <row r="48" spans="1:15">
      <c r="A48" s="41">
        <v>43435</v>
      </c>
      <c r="B48">
        <v>55.549999</v>
      </c>
      <c r="C48">
        <v>55.98</v>
      </c>
      <c r="D48">
        <v>40.669998</v>
      </c>
      <c r="E48">
        <v>45.419998</v>
      </c>
      <c r="F48">
        <v>45.419998</v>
      </c>
      <c r="G48" s="42">
        <f t="shared" si="0"/>
        <v>-4.8994976926087883E-2</v>
      </c>
      <c r="H48" s="42">
        <f t="shared" si="1"/>
        <v>0.37644462141355395</v>
      </c>
      <c r="J48" s="91">
        <v>0.06</v>
      </c>
      <c r="K48" s="92">
        <f t="shared" si="10"/>
        <v>-0.23936786212201058</v>
      </c>
      <c r="L48" s="93">
        <v>0.45</v>
      </c>
      <c r="M48" s="92">
        <f t="shared" si="9"/>
        <v>-1.1497870832690878E-2</v>
      </c>
      <c r="N48" s="93">
        <v>0.9</v>
      </c>
      <c r="O48" s="94">
        <f t="shared" si="8"/>
        <v>0.17558743610561389</v>
      </c>
    </row>
    <row r="49" spans="1:15">
      <c r="A49" s="41">
        <v>43466</v>
      </c>
      <c r="B49">
        <v>44.66</v>
      </c>
      <c r="C49">
        <v>51.610000999999997</v>
      </c>
      <c r="D49">
        <v>43.183998000000003</v>
      </c>
      <c r="E49">
        <v>47.759998000000003</v>
      </c>
      <c r="F49">
        <v>47.759998000000003</v>
      </c>
      <c r="G49" s="42">
        <f t="shared" si="0"/>
        <v>-0.13384115222780471</v>
      </c>
      <c r="H49" s="42">
        <f t="shared" si="1"/>
        <v>0.19511864093732112</v>
      </c>
      <c r="J49" s="91">
        <v>7.0000000000000007E-2</v>
      </c>
      <c r="K49" s="92">
        <f t="shared" si="10"/>
        <v>-0.21304553621543768</v>
      </c>
      <c r="L49" s="93">
        <v>0.5</v>
      </c>
      <c r="M49" s="92">
        <f t="shared" si="9"/>
        <v>8.415150201840936E-3</v>
      </c>
      <c r="N49" s="93">
        <v>0.91</v>
      </c>
      <c r="O49" s="94">
        <f t="shared" si="8"/>
        <v>0.18919744361028154</v>
      </c>
    </row>
    <row r="50" spans="1:15">
      <c r="A50" s="41">
        <v>43497</v>
      </c>
      <c r="B50">
        <v>47.889999000000003</v>
      </c>
      <c r="C50">
        <v>55.57</v>
      </c>
      <c r="D50">
        <v>47.509998000000003</v>
      </c>
      <c r="E50">
        <v>55.139999000000003</v>
      </c>
      <c r="F50">
        <v>55.139999000000003</v>
      </c>
      <c r="G50" s="42">
        <f t="shared" si="0"/>
        <v>-6.7793793143066966E-2</v>
      </c>
      <c r="H50" s="42">
        <f t="shared" si="1"/>
        <v>0.1696485442916667</v>
      </c>
      <c r="J50" s="91">
        <v>0.08</v>
      </c>
      <c r="K50" s="92">
        <f t="shared" si="10"/>
        <v>-0.19361460807632067</v>
      </c>
      <c r="L50" s="93">
        <v>0.55000000000000004</v>
      </c>
      <c r="M50" s="92">
        <f t="shared" si="9"/>
        <v>1.9469241601791247E-2</v>
      </c>
      <c r="N50" s="93">
        <v>0.92</v>
      </c>
      <c r="O50" s="94">
        <f t="shared" si="8"/>
        <v>0.19139667163765378</v>
      </c>
    </row>
    <row r="51" spans="1:15">
      <c r="A51" s="41">
        <v>43525</v>
      </c>
      <c r="B51">
        <v>55.080002</v>
      </c>
      <c r="C51">
        <v>59.16</v>
      </c>
      <c r="D51">
        <v>50.77</v>
      </c>
      <c r="E51">
        <v>59.150002000000001</v>
      </c>
      <c r="F51">
        <v>59.150002000000001</v>
      </c>
      <c r="G51" s="42">
        <f t="shared" si="0"/>
        <v>-3.5073361094182055E-2</v>
      </c>
      <c r="H51" s="42">
        <f t="shared" si="1"/>
        <v>0.16525507189284996</v>
      </c>
      <c r="J51" s="91">
        <v>0.09</v>
      </c>
      <c r="K51" s="92">
        <f t="shared" si="10"/>
        <v>-0.18439512590926835</v>
      </c>
      <c r="L51" s="93">
        <v>0.6</v>
      </c>
      <c r="M51" s="92">
        <f t="shared" si="9"/>
        <v>3.6520660142324822E-2</v>
      </c>
      <c r="N51" s="93">
        <v>0.93</v>
      </c>
      <c r="O51" s="94">
        <f t="shared" si="8"/>
        <v>0.19668432876711819</v>
      </c>
    </row>
    <row r="52" spans="1:15">
      <c r="A52" s="41">
        <v>43556</v>
      </c>
      <c r="B52">
        <v>59.599997999999999</v>
      </c>
      <c r="C52">
        <v>62.400002000000001</v>
      </c>
      <c r="D52">
        <v>57.209999000000003</v>
      </c>
      <c r="E52">
        <v>61.299999</v>
      </c>
      <c r="F52">
        <v>61.299999</v>
      </c>
      <c r="G52" s="42">
        <f t="shared" si="0"/>
        <v>-8.1497965167007312E-4</v>
      </c>
      <c r="H52" s="42">
        <f t="shared" si="1"/>
        <v>9.0718459897193793E-2</v>
      </c>
      <c r="J52" s="91">
        <v>0.1</v>
      </c>
      <c r="K52" s="92">
        <f t="shared" si="10"/>
        <v>-0.17413602195259331</v>
      </c>
      <c r="L52" s="93">
        <v>0.65</v>
      </c>
      <c r="M52" s="92">
        <f t="shared" si="9"/>
        <v>5.1226712220939649E-2</v>
      </c>
      <c r="N52" s="93">
        <v>0.94</v>
      </c>
      <c r="O52" s="94">
        <f t="shared" si="8"/>
        <v>0.21353210823217228</v>
      </c>
    </row>
    <row r="53" spans="1:15">
      <c r="A53" s="41">
        <v>43586</v>
      </c>
      <c r="B53">
        <v>61.299999</v>
      </c>
      <c r="C53">
        <v>67.019997000000004</v>
      </c>
      <c r="D53">
        <v>56.630001</v>
      </c>
      <c r="E53">
        <v>61.349997999999999</v>
      </c>
      <c r="F53">
        <v>61.349997999999999</v>
      </c>
      <c r="G53" s="42">
        <f t="shared" si="0"/>
        <v>-0.15027700070403047</v>
      </c>
      <c r="H53" s="42">
        <f t="shared" si="1"/>
        <v>0.18347158425796256</v>
      </c>
      <c r="J53" s="91">
        <v>0.11</v>
      </c>
      <c r="K53" s="92">
        <f t="shared" si="10"/>
        <v>-0.17169374947725199</v>
      </c>
      <c r="L53" s="93">
        <v>0.7</v>
      </c>
      <c r="M53" s="92">
        <f t="shared" si="9"/>
        <v>6.0113379696595665E-2</v>
      </c>
      <c r="N53" s="93">
        <v>0.95</v>
      </c>
      <c r="O53" s="94">
        <f t="shared" si="8"/>
        <v>0.22811154522926483</v>
      </c>
    </row>
    <row r="54" spans="1:15">
      <c r="A54" s="41">
        <v>43617</v>
      </c>
      <c r="B54">
        <v>61.18</v>
      </c>
      <c r="C54">
        <v>72.400002000000001</v>
      </c>
      <c r="D54">
        <v>58.509998000000003</v>
      </c>
      <c r="E54">
        <v>72.199996999999996</v>
      </c>
      <c r="F54">
        <v>72.199996999999996</v>
      </c>
      <c r="G54" s="42">
        <f t="shared" si="0"/>
        <v>-3.2949462472571051E-2</v>
      </c>
      <c r="H54" s="42">
        <f t="shared" si="1"/>
        <v>0.23739539351889904</v>
      </c>
      <c r="J54" s="91">
        <v>0.12</v>
      </c>
      <c r="K54" s="92">
        <f t="shared" si="10"/>
        <v>-0.16975125855989445</v>
      </c>
      <c r="L54" s="93">
        <v>0.75</v>
      </c>
      <c r="M54" s="92">
        <f t="shared" si="9"/>
        <v>7.7987179155910219E-2</v>
      </c>
      <c r="N54" s="93">
        <v>0.96</v>
      </c>
      <c r="O54" s="94">
        <f t="shared" si="8"/>
        <v>0.25421177899344533</v>
      </c>
    </row>
    <row r="55" spans="1:15">
      <c r="A55" s="41">
        <v>43647</v>
      </c>
      <c r="B55">
        <v>72.769997000000004</v>
      </c>
      <c r="C55">
        <v>76.489998</v>
      </c>
      <c r="D55">
        <v>68.099997999999999</v>
      </c>
      <c r="E55">
        <v>74.660004000000001</v>
      </c>
      <c r="F55">
        <v>74.660004000000001</v>
      </c>
      <c r="G55" s="42">
        <f t="shared" si="0"/>
        <v>-0.24707542367586027</v>
      </c>
      <c r="H55" s="42">
        <f t="shared" si="1"/>
        <v>0.12320117836126809</v>
      </c>
      <c r="J55" s="91">
        <v>0.13</v>
      </c>
      <c r="K55" s="92">
        <f t="shared" si="10"/>
        <v>-0.16610675933516272</v>
      </c>
      <c r="L55" s="93">
        <v>0.8</v>
      </c>
      <c r="M55" s="92">
        <f t="shared" si="9"/>
        <v>0.10641288457902141</v>
      </c>
      <c r="N55" s="93">
        <v>0.97</v>
      </c>
      <c r="O55" s="94">
        <f t="shared" si="8"/>
        <v>0.31106289982903079</v>
      </c>
    </row>
    <row r="56" spans="1:15">
      <c r="A56" s="41">
        <v>43678</v>
      </c>
      <c r="B56">
        <v>75.139999000000003</v>
      </c>
      <c r="C56">
        <v>100.894997</v>
      </c>
      <c r="D56">
        <v>72.419998000000007</v>
      </c>
      <c r="E56">
        <v>99.160004000000001</v>
      </c>
      <c r="F56">
        <v>99.160004000000001</v>
      </c>
      <c r="G56" s="42">
        <f t="shared" si="0"/>
        <v>1.1423939091963055E-2</v>
      </c>
      <c r="H56" s="42">
        <f t="shared" si="1"/>
        <v>0.39319248531324169</v>
      </c>
      <c r="J56" s="91">
        <v>0.14000000000000001</v>
      </c>
      <c r="K56" s="92">
        <f t="shared" si="10"/>
        <v>-0.14984369309639795</v>
      </c>
      <c r="L56" s="93"/>
      <c r="M56" s="92"/>
      <c r="N56" s="93">
        <v>0.98</v>
      </c>
      <c r="O56" s="94">
        <f t="shared" si="8"/>
        <v>0.35631540318069593</v>
      </c>
    </row>
    <row r="57" spans="1:15" ht="14.65" thickBot="1">
      <c r="A57" s="41">
        <v>43709</v>
      </c>
      <c r="B57">
        <v>99.019997000000004</v>
      </c>
      <c r="C57">
        <v>105.839996</v>
      </c>
      <c r="D57">
        <v>94.389999000000003</v>
      </c>
      <c r="E57">
        <v>98.040001000000004</v>
      </c>
      <c r="F57">
        <v>98.040001000000004</v>
      </c>
      <c r="G57" s="42">
        <f t="shared" si="0"/>
        <v>0.1915411058767757</v>
      </c>
      <c r="H57" s="42">
        <f t="shared" si="1"/>
        <v>0.12130519251303304</v>
      </c>
      <c r="J57" s="95">
        <v>0.15</v>
      </c>
      <c r="K57" s="96">
        <f t="shared" si="10"/>
        <v>-0.14484850967533627</v>
      </c>
      <c r="L57" s="97"/>
      <c r="M57" s="98"/>
      <c r="N57" s="99">
        <v>0.99</v>
      </c>
      <c r="O57" s="100">
        <f t="shared" si="8"/>
        <v>0.37296234551428253</v>
      </c>
    </row>
    <row r="58" spans="1:15" ht="14.65" thickBot="1">
      <c r="A58" s="41">
        <v>43739</v>
      </c>
      <c r="B58">
        <v>97.410004000000001</v>
      </c>
      <c r="C58">
        <v>97.93</v>
      </c>
      <c r="D58">
        <v>80.860000999999997</v>
      </c>
      <c r="E58">
        <v>82.279999000000004</v>
      </c>
      <c r="F58">
        <v>82.279999000000004</v>
      </c>
      <c r="G58" s="42">
        <f t="shared" si="0"/>
        <v>0.3275249919328817</v>
      </c>
      <c r="H58" s="42">
        <f t="shared" si="1"/>
        <v>0.21110559966478371</v>
      </c>
      <c r="J58" s="101"/>
      <c r="L58" s="101"/>
      <c r="N58" s="101"/>
      <c r="O58" s="101"/>
    </row>
    <row r="59" spans="1:15">
      <c r="A59" s="41">
        <v>43770</v>
      </c>
      <c r="B59">
        <v>82.5</v>
      </c>
      <c r="C59">
        <v>85.43</v>
      </c>
      <c r="D59">
        <v>58.330002</v>
      </c>
      <c r="E59">
        <v>61.98</v>
      </c>
      <c r="F59">
        <v>61.98</v>
      </c>
      <c r="G59" s="42">
        <f t="shared" si="0"/>
        <v>4.045660567399692E-2</v>
      </c>
      <c r="H59" s="42">
        <f t="shared" si="1"/>
        <v>0.46459792680960316</v>
      </c>
      <c r="J59" s="102" t="s">
        <v>145</v>
      </c>
      <c r="K59" s="108">
        <v>-0.1052</v>
      </c>
      <c r="L59" s="101"/>
      <c r="N59" s="101"/>
    </row>
    <row r="60" spans="1:15" ht="14.65" thickBot="1">
      <c r="A60" s="41">
        <v>43800</v>
      </c>
      <c r="B60">
        <v>62</v>
      </c>
      <c r="C60">
        <v>62.919998</v>
      </c>
      <c r="D60">
        <v>57.470001000000003</v>
      </c>
      <c r="E60">
        <v>59.57</v>
      </c>
      <c r="F60">
        <v>59.57</v>
      </c>
      <c r="G60" s="42">
        <f t="shared" si="0"/>
        <v>-0.1168272401850514</v>
      </c>
      <c r="H60" s="42">
        <f t="shared" si="1"/>
        <v>9.4832032454636561E-2</v>
      </c>
      <c r="J60" s="103" t="s">
        <v>146</v>
      </c>
      <c r="K60" s="109">
        <f>((1+M55)^2-1+(1+O43)^2-1)/2</f>
        <v>0.25573319014360718</v>
      </c>
      <c r="L60" s="101"/>
      <c r="N60" s="101"/>
    </row>
    <row r="61" spans="1:15" ht="14.65" thickBot="1">
      <c r="A61" s="41">
        <v>43831</v>
      </c>
      <c r="B61">
        <v>59.889999000000003</v>
      </c>
      <c r="C61">
        <v>72.839995999999999</v>
      </c>
      <c r="D61">
        <v>58.849997999999999</v>
      </c>
      <c r="E61">
        <v>67.449996999999996</v>
      </c>
      <c r="F61">
        <v>67.449996999999996</v>
      </c>
      <c r="G61" s="42">
        <f t="shared" si="0"/>
        <v>0.1347577075161121</v>
      </c>
      <c r="H61" s="42">
        <f t="shared" si="1"/>
        <v>0.23772299873315203</v>
      </c>
      <c r="J61" s="101"/>
      <c r="L61" s="101"/>
      <c r="N61" s="101"/>
    </row>
    <row r="62" spans="1:15">
      <c r="A62" s="41">
        <v>43862</v>
      </c>
      <c r="B62">
        <v>67.510002</v>
      </c>
      <c r="C62">
        <v>78.474997999999999</v>
      </c>
      <c r="D62">
        <v>57.830002</v>
      </c>
      <c r="E62">
        <v>59.439999</v>
      </c>
      <c r="F62">
        <v>59.439999</v>
      </c>
      <c r="G62" s="42">
        <f t="shared" si="0"/>
        <v>0.57498664149514367</v>
      </c>
      <c r="H62" s="42">
        <f t="shared" si="1"/>
        <v>0.35699455794589113</v>
      </c>
      <c r="J62" s="102" t="s">
        <v>102</v>
      </c>
      <c r="K62" s="104"/>
      <c r="L62" s="101"/>
      <c r="N62" s="101"/>
    </row>
    <row r="63" spans="1:15">
      <c r="A63" s="41">
        <v>43891</v>
      </c>
      <c r="B63">
        <v>59.330002</v>
      </c>
      <c r="C63">
        <v>59.330002</v>
      </c>
      <c r="D63">
        <v>30.01</v>
      </c>
      <c r="E63">
        <v>37.740001999999997</v>
      </c>
      <c r="F63">
        <v>37.740001999999997</v>
      </c>
      <c r="G63" s="42">
        <f t="shared" si="0"/>
        <v>-0.30764991038891626</v>
      </c>
      <c r="H63" s="42">
        <f t="shared" si="1"/>
        <v>0.97700773075641445</v>
      </c>
      <c r="J63" s="105" t="s">
        <v>147</v>
      </c>
      <c r="K63" s="106">
        <f>K62*(1-K59)</f>
        <v>0</v>
      </c>
      <c r="L63" s="101"/>
      <c r="N63" s="101"/>
    </row>
    <row r="64" spans="1:15" ht="14.65" thickBot="1">
      <c r="A64" s="41">
        <v>43922</v>
      </c>
      <c r="B64">
        <v>36</v>
      </c>
      <c r="C64">
        <v>57.102001000000001</v>
      </c>
      <c r="D64">
        <v>30.57</v>
      </c>
      <c r="E64">
        <v>54.509998000000003</v>
      </c>
      <c r="F64">
        <v>54.509998000000003</v>
      </c>
      <c r="G64" s="42">
        <f t="shared" si="0"/>
        <v>-1.8721890526046572E-2</v>
      </c>
      <c r="H64" s="42">
        <f t="shared" si="1"/>
        <v>0.86790974811907096</v>
      </c>
      <c r="J64" s="103" t="s">
        <v>148</v>
      </c>
      <c r="K64" s="107">
        <f>K62*(1+K60)</f>
        <v>0</v>
      </c>
      <c r="L64" s="101"/>
      <c r="N64" s="101"/>
    </row>
    <row r="65" spans="1:14">
      <c r="A65" s="41">
        <v>43952</v>
      </c>
      <c r="B65">
        <v>52.77</v>
      </c>
      <c r="C65">
        <v>58.09</v>
      </c>
      <c r="D65">
        <v>45.509998000000003</v>
      </c>
      <c r="E65">
        <v>55.549999</v>
      </c>
      <c r="F65">
        <v>55.549999</v>
      </c>
      <c r="G65" s="42">
        <f t="shared" si="0"/>
        <v>4.8508852397131048E-2</v>
      </c>
      <c r="H65" s="42">
        <f t="shared" si="1"/>
        <v>0.27642282032181148</v>
      </c>
      <c r="L65" s="101"/>
      <c r="N65" s="101"/>
    </row>
    <row r="66" spans="1:14">
      <c r="A66" s="41">
        <v>43983</v>
      </c>
      <c r="B66">
        <v>55.209999000000003</v>
      </c>
      <c r="C66">
        <v>63.799999</v>
      </c>
      <c r="D66">
        <v>48.779998999999997</v>
      </c>
      <c r="E66">
        <v>52.98</v>
      </c>
      <c r="F66">
        <v>52.98</v>
      </c>
      <c r="G66" s="42">
        <f t="shared" si="0"/>
        <v>9.1246160478808597E-2</v>
      </c>
      <c r="H66" s="42">
        <f t="shared" si="1"/>
        <v>0.30791308544307278</v>
      </c>
      <c r="J66" s="101"/>
      <c r="L66" s="101"/>
      <c r="N66" s="101"/>
    </row>
    <row r="67" spans="1:14">
      <c r="A67" s="41">
        <v>44013</v>
      </c>
      <c r="B67">
        <v>53.259998000000003</v>
      </c>
      <c r="C67">
        <v>56.299999</v>
      </c>
      <c r="D67">
        <v>47.119999</v>
      </c>
      <c r="E67">
        <v>48.549999</v>
      </c>
      <c r="F67">
        <v>48.549999</v>
      </c>
      <c r="G67" s="42">
        <f t="shared" ref="G67:G130" si="11">(F67-F68)/F68</f>
        <v>-0.28864470329670328</v>
      </c>
      <c r="H67" s="42">
        <f t="shared" ref="H67:H130" si="12">(C67-D67)/D67</f>
        <v>0.19482173588331358</v>
      </c>
      <c r="J67" s="101"/>
      <c r="L67" s="101"/>
      <c r="N67" s="101"/>
    </row>
    <row r="68" spans="1:14">
      <c r="A68" s="41">
        <v>44044</v>
      </c>
      <c r="B68">
        <v>47.939999</v>
      </c>
      <c r="C68">
        <v>68.760002</v>
      </c>
      <c r="D68">
        <v>47.52</v>
      </c>
      <c r="E68">
        <v>68.25</v>
      </c>
      <c r="F68">
        <v>68.25</v>
      </c>
      <c r="G68" s="42">
        <f t="shared" si="11"/>
        <v>5.8467692689158281E-2</v>
      </c>
      <c r="H68" s="42">
        <f t="shared" si="12"/>
        <v>0.44696973905723897</v>
      </c>
    </row>
    <row r="69" spans="1:14">
      <c r="A69" s="41">
        <v>44075</v>
      </c>
      <c r="B69">
        <v>67.739998</v>
      </c>
      <c r="C69">
        <v>72.489998</v>
      </c>
      <c r="D69">
        <v>63.490001999999997</v>
      </c>
      <c r="E69">
        <v>64.480002999999996</v>
      </c>
      <c r="F69">
        <v>64.480002999999996</v>
      </c>
      <c r="G69" s="42">
        <f t="shared" si="11"/>
        <v>-4.5023609820361916E-2</v>
      </c>
      <c r="H69" s="42">
        <f t="shared" si="12"/>
        <v>0.14175453955726766</v>
      </c>
    </row>
    <row r="70" spans="1:14">
      <c r="A70" s="41">
        <v>44105</v>
      </c>
      <c r="B70">
        <v>65.019997000000004</v>
      </c>
      <c r="C70">
        <v>75.419998000000007</v>
      </c>
      <c r="D70">
        <v>63.77</v>
      </c>
      <c r="E70">
        <v>67.519997000000004</v>
      </c>
      <c r="F70">
        <v>67.519997000000004</v>
      </c>
      <c r="G70" s="42">
        <f t="shared" si="11"/>
        <v>-0.17315706964697181</v>
      </c>
      <c r="H70" s="42">
        <f t="shared" si="12"/>
        <v>0.18268775286184732</v>
      </c>
    </row>
    <row r="71" spans="1:14">
      <c r="A71" s="41">
        <v>44136</v>
      </c>
      <c r="B71">
        <v>67.699996999999996</v>
      </c>
      <c r="C71">
        <v>86.985000999999997</v>
      </c>
      <c r="D71">
        <v>64.019997000000004</v>
      </c>
      <c r="E71">
        <v>81.660004000000001</v>
      </c>
      <c r="F71">
        <v>81.660004000000001</v>
      </c>
      <c r="G71" s="42">
        <f t="shared" si="11"/>
        <v>-3.6801073800437324E-2</v>
      </c>
      <c r="H71" s="42">
        <f t="shared" si="12"/>
        <v>0.35871610553183864</v>
      </c>
    </row>
    <row r="72" spans="1:14">
      <c r="A72" s="41">
        <v>44166</v>
      </c>
      <c r="B72">
        <v>82.480002999999996</v>
      </c>
      <c r="C72">
        <v>91.989998</v>
      </c>
      <c r="D72">
        <v>79.459998999999996</v>
      </c>
      <c r="E72">
        <v>84.779999000000004</v>
      </c>
      <c r="F72">
        <v>84.779999000000004</v>
      </c>
      <c r="G72" s="42">
        <f t="shared" si="11"/>
        <v>-0.2525127799773017</v>
      </c>
      <c r="H72" s="42">
        <f t="shared" si="12"/>
        <v>0.15768939287301029</v>
      </c>
    </row>
    <row r="73" spans="1:14">
      <c r="A73" s="41">
        <v>44197</v>
      </c>
      <c r="B73">
        <v>85</v>
      </c>
      <c r="C73">
        <v>138.38000500000001</v>
      </c>
      <c r="D73">
        <v>82.160004000000001</v>
      </c>
      <c r="E73">
        <v>113.41999800000001</v>
      </c>
      <c r="F73">
        <v>113.41999800000001</v>
      </c>
      <c r="G73" s="42">
        <f t="shared" si="11"/>
        <v>-4.2707671099569348E-2</v>
      </c>
      <c r="H73" s="42">
        <f t="shared" si="12"/>
        <v>0.6842745650304497</v>
      </c>
    </row>
    <row r="74" spans="1:14">
      <c r="A74" s="41">
        <v>44228</v>
      </c>
      <c r="B74">
        <v>112.779999</v>
      </c>
      <c r="C74">
        <v>132.49499499999999</v>
      </c>
      <c r="D74">
        <v>107.279999</v>
      </c>
      <c r="E74">
        <v>118.480003</v>
      </c>
      <c r="F74">
        <v>118.480003</v>
      </c>
      <c r="G74" s="42">
        <f t="shared" si="11"/>
        <v>5.0634088426906608E-2</v>
      </c>
      <c r="H74" s="42">
        <f t="shared" si="12"/>
        <v>0.23503911479342934</v>
      </c>
    </row>
    <row r="75" spans="1:14">
      <c r="A75" s="41">
        <v>44256</v>
      </c>
      <c r="B75">
        <v>118.660004</v>
      </c>
      <c r="C75">
        <v>130</v>
      </c>
      <c r="D75">
        <v>103.449997</v>
      </c>
      <c r="E75">
        <v>112.769997</v>
      </c>
      <c r="F75">
        <v>112.769997</v>
      </c>
      <c r="G75" s="42">
        <f t="shared" si="11"/>
        <v>3.6965489655172448E-2</v>
      </c>
      <c r="H75" s="42">
        <f t="shared" si="12"/>
        <v>0.25664575901341019</v>
      </c>
    </row>
    <row r="76" spans="1:14">
      <c r="A76" s="41">
        <v>44287</v>
      </c>
      <c r="B76">
        <v>114.889999</v>
      </c>
      <c r="C76">
        <v>120.230003</v>
      </c>
      <c r="D76">
        <v>104.470001</v>
      </c>
      <c r="E76">
        <v>108.75</v>
      </c>
      <c r="F76">
        <v>108.75</v>
      </c>
      <c r="G76" s="42">
        <f t="shared" si="11"/>
        <v>0.1571610611674486</v>
      </c>
      <c r="H76" s="42">
        <f t="shared" si="12"/>
        <v>0.15085672297447381</v>
      </c>
    </row>
    <row r="77" spans="1:14">
      <c r="A77" s="41">
        <v>44317</v>
      </c>
      <c r="B77">
        <v>109.209999</v>
      </c>
      <c r="C77">
        <v>110.400002</v>
      </c>
      <c r="D77">
        <v>78</v>
      </c>
      <c r="E77">
        <v>93.980002999999996</v>
      </c>
      <c r="F77">
        <v>93.980002999999996</v>
      </c>
      <c r="G77" s="42">
        <f t="shared" si="11"/>
        <v>-0.12184633120481218</v>
      </c>
      <c r="H77" s="42">
        <f t="shared" si="12"/>
        <v>0.41538464102564104</v>
      </c>
    </row>
    <row r="78" spans="1:14">
      <c r="A78" s="41">
        <v>44348</v>
      </c>
      <c r="B78">
        <v>94.110000999999997</v>
      </c>
      <c r="C78">
        <v>111.489998</v>
      </c>
      <c r="D78">
        <v>88.400002000000001</v>
      </c>
      <c r="E78">
        <v>107.019997</v>
      </c>
      <c r="F78">
        <v>107.019997</v>
      </c>
      <c r="G78" s="42">
        <f t="shared" si="11"/>
        <v>6.4451918992919049E-2</v>
      </c>
      <c r="H78" s="42">
        <f t="shared" si="12"/>
        <v>0.261199043864275</v>
      </c>
    </row>
    <row r="79" spans="1:14">
      <c r="A79" s="41">
        <v>44378</v>
      </c>
      <c r="B79">
        <v>108</v>
      </c>
      <c r="C79">
        <v>109.879997</v>
      </c>
      <c r="D79">
        <v>87.175003000000004</v>
      </c>
      <c r="E79">
        <v>100.540001</v>
      </c>
      <c r="F79">
        <v>100.540001</v>
      </c>
      <c r="G79" s="42">
        <f t="shared" si="11"/>
        <v>0.15896254755043232</v>
      </c>
      <c r="H79" s="42">
        <f t="shared" si="12"/>
        <v>0.26045303376703066</v>
      </c>
    </row>
    <row r="80" spans="1:14">
      <c r="A80" s="41">
        <v>44409</v>
      </c>
      <c r="B80">
        <v>101.290001</v>
      </c>
      <c r="C80">
        <v>101.889999</v>
      </c>
      <c r="D80">
        <v>82.870002999999997</v>
      </c>
      <c r="E80">
        <v>86.75</v>
      </c>
      <c r="F80">
        <v>86.75</v>
      </c>
      <c r="G80" s="42">
        <f t="shared" si="11"/>
        <v>0.10565894858091961</v>
      </c>
      <c r="H80" s="42">
        <f t="shared" si="12"/>
        <v>0.22951605299205802</v>
      </c>
    </row>
    <row r="81" spans="1:8">
      <c r="A81" s="41">
        <v>44440</v>
      </c>
      <c r="B81">
        <v>86.75</v>
      </c>
      <c r="C81">
        <v>89.449996999999996</v>
      </c>
      <c r="D81">
        <v>77.589995999999999</v>
      </c>
      <c r="E81">
        <v>78.459998999999996</v>
      </c>
      <c r="F81">
        <v>78.459998999999996</v>
      </c>
      <c r="G81" s="42">
        <f t="shared" si="11"/>
        <v>0.13430679873664286</v>
      </c>
      <c r="H81" s="42">
        <f t="shared" si="12"/>
        <v>0.15285477009175252</v>
      </c>
    </row>
    <row r="82" spans="1:8">
      <c r="A82" s="41">
        <v>44470</v>
      </c>
      <c r="B82">
        <v>79.309997999999993</v>
      </c>
      <c r="C82">
        <v>82.160004000000001</v>
      </c>
      <c r="D82">
        <v>68.230002999999996</v>
      </c>
      <c r="E82">
        <v>69.169998000000007</v>
      </c>
      <c r="F82">
        <v>69.169998000000007</v>
      </c>
      <c r="G82" s="42">
        <f t="shared" si="11"/>
        <v>-5.2335937863705564E-2</v>
      </c>
      <c r="H82" s="42">
        <f t="shared" si="12"/>
        <v>0.20416239758922486</v>
      </c>
    </row>
    <row r="83" spans="1:8">
      <c r="A83" s="41">
        <v>44501</v>
      </c>
      <c r="B83">
        <v>71.610000999999997</v>
      </c>
      <c r="C83">
        <v>100.849998</v>
      </c>
      <c r="D83">
        <v>70.740996999999993</v>
      </c>
      <c r="E83">
        <v>72.989998</v>
      </c>
      <c r="F83">
        <v>72.989998</v>
      </c>
      <c r="G83" s="42">
        <f t="shared" si="11"/>
        <v>1.1502133508750904E-2</v>
      </c>
      <c r="H83" s="42">
        <f t="shared" si="12"/>
        <v>0.42562307964079171</v>
      </c>
    </row>
    <row r="84" spans="1:8">
      <c r="A84" s="41">
        <v>44531</v>
      </c>
      <c r="B84">
        <v>74.940002000000007</v>
      </c>
      <c r="C84">
        <v>81.830001999999993</v>
      </c>
      <c r="D84">
        <v>66.260002</v>
      </c>
      <c r="E84">
        <v>72.160004000000001</v>
      </c>
      <c r="F84">
        <v>72.160004000000001</v>
      </c>
      <c r="G84" s="42">
        <f t="shared" si="11"/>
        <v>9.2175026487059303E-2</v>
      </c>
      <c r="H84" s="42">
        <f t="shared" si="12"/>
        <v>0.23498339163949911</v>
      </c>
    </row>
    <row r="85" spans="1:8">
      <c r="A85" s="41">
        <v>44562</v>
      </c>
      <c r="B85">
        <v>73.599997999999999</v>
      </c>
      <c r="C85">
        <v>79.620002999999997</v>
      </c>
      <c r="D85">
        <v>58.189999</v>
      </c>
      <c r="E85">
        <v>66.069999999999993</v>
      </c>
      <c r="F85">
        <v>66.069999999999993</v>
      </c>
      <c r="G85" s="42">
        <f t="shared" si="11"/>
        <v>-0.11576553645924073</v>
      </c>
      <c r="H85" s="42">
        <f t="shared" si="12"/>
        <v>0.36827641120942445</v>
      </c>
    </row>
    <row r="86" spans="1:8">
      <c r="A86" s="41">
        <v>44593</v>
      </c>
      <c r="B86">
        <v>66.699996999999996</v>
      </c>
      <c r="C86">
        <v>79.25</v>
      </c>
      <c r="D86">
        <v>61.689999</v>
      </c>
      <c r="E86">
        <v>74.720000999999996</v>
      </c>
      <c r="F86">
        <v>74.720000999999996</v>
      </c>
      <c r="G86" s="42">
        <f t="shared" si="11"/>
        <v>0.10044180852895992</v>
      </c>
      <c r="H86" s="42">
        <f t="shared" si="12"/>
        <v>0.28464907253443139</v>
      </c>
    </row>
    <row r="87" spans="1:8">
      <c r="A87" s="41">
        <v>44621</v>
      </c>
      <c r="B87">
        <v>74.650002000000001</v>
      </c>
      <c r="C87">
        <v>75.760002</v>
      </c>
      <c r="D87">
        <v>59.41</v>
      </c>
      <c r="E87">
        <v>67.900002000000001</v>
      </c>
      <c r="F87">
        <v>67.900002000000001</v>
      </c>
      <c r="G87" s="42">
        <f t="shared" si="11"/>
        <v>0.17413106781493801</v>
      </c>
      <c r="H87" s="42">
        <f t="shared" si="12"/>
        <v>0.27520622790775973</v>
      </c>
    </row>
    <row r="88" spans="1:8">
      <c r="A88" s="41">
        <v>44652</v>
      </c>
      <c r="B88">
        <v>68.510002</v>
      </c>
      <c r="C88">
        <v>70.819999999999993</v>
      </c>
      <c r="D88">
        <v>57.639999000000003</v>
      </c>
      <c r="E88">
        <v>57.830002</v>
      </c>
      <c r="F88">
        <v>57.830002</v>
      </c>
      <c r="G88" s="42">
        <f t="shared" si="11"/>
        <v>0.18869475072169575</v>
      </c>
      <c r="H88" s="42">
        <f t="shared" si="12"/>
        <v>0.22866067364088591</v>
      </c>
    </row>
    <row r="89" spans="1:8">
      <c r="A89" s="41">
        <v>44682</v>
      </c>
      <c r="B89">
        <v>58.669998</v>
      </c>
      <c r="C89">
        <v>60.48</v>
      </c>
      <c r="D89">
        <v>40.340000000000003</v>
      </c>
      <c r="E89">
        <v>48.650002000000001</v>
      </c>
      <c r="F89">
        <v>48.650002000000001</v>
      </c>
      <c r="G89" s="42">
        <f t="shared" si="11"/>
        <v>0.23226955420466069</v>
      </c>
      <c r="H89" s="42">
        <f t="shared" si="12"/>
        <v>0.49925632126921149</v>
      </c>
    </row>
    <row r="90" spans="1:8">
      <c r="A90" s="41">
        <v>44713</v>
      </c>
      <c r="B90">
        <v>49.279998999999997</v>
      </c>
      <c r="C90">
        <v>49.279998999999997</v>
      </c>
      <c r="D90">
        <v>37.717998999999999</v>
      </c>
      <c r="E90">
        <v>39.479999999999997</v>
      </c>
      <c r="F90">
        <v>39.479999999999997</v>
      </c>
      <c r="G90" s="42">
        <f t="shared" si="11"/>
        <v>-0.23280216153910158</v>
      </c>
      <c r="H90" s="42">
        <f t="shared" si="12"/>
        <v>0.30653800059753961</v>
      </c>
    </row>
    <row r="91" spans="1:8">
      <c r="A91" s="41">
        <v>44743</v>
      </c>
      <c r="B91">
        <v>39.5</v>
      </c>
      <c r="C91">
        <v>51.470001000000003</v>
      </c>
      <c r="D91">
        <v>38.689999</v>
      </c>
      <c r="E91">
        <v>51.459999000000003</v>
      </c>
      <c r="F91">
        <v>51.459999000000003</v>
      </c>
      <c r="G91" s="42">
        <f t="shared" si="11"/>
        <v>7.9731409987410976E-2</v>
      </c>
      <c r="H91" s="42">
        <f t="shared" si="12"/>
        <v>0.33031797183556411</v>
      </c>
    </row>
    <row r="92" spans="1:8">
      <c r="A92" s="41">
        <v>44774</v>
      </c>
      <c r="B92">
        <v>50.68</v>
      </c>
      <c r="C92">
        <v>54.880001</v>
      </c>
      <c r="D92">
        <v>46</v>
      </c>
      <c r="E92">
        <v>47.66</v>
      </c>
      <c r="F92">
        <v>47.66</v>
      </c>
      <c r="G92" s="42">
        <f t="shared" si="11"/>
        <v>5.9582036460649176E-2</v>
      </c>
      <c r="H92" s="42">
        <f t="shared" si="12"/>
        <v>0.19304350000000001</v>
      </c>
    </row>
    <row r="93" spans="1:8">
      <c r="A93" s="41">
        <v>44805</v>
      </c>
      <c r="B93">
        <v>47.099997999999999</v>
      </c>
      <c r="C93">
        <v>51.5</v>
      </c>
      <c r="D93">
        <v>43.849997999999999</v>
      </c>
      <c r="E93">
        <v>44.98</v>
      </c>
      <c r="F93">
        <v>44.98</v>
      </c>
      <c r="G93" s="42">
        <f t="shared" si="11"/>
        <v>-0.19057045168256259</v>
      </c>
      <c r="H93" s="42">
        <f t="shared" si="12"/>
        <v>0.17445843441087502</v>
      </c>
    </row>
    <row r="94" spans="1:8">
      <c r="A94" s="41">
        <v>44835</v>
      </c>
      <c r="B94">
        <v>45.57</v>
      </c>
      <c r="C94">
        <v>56.810001</v>
      </c>
      <c r="D94">
        <v>44.514000000000003</v>
      </c>
      <c r="E94">
        <v>55.57</v>
      </c>
      <c r="F94">
        <v>55.57</v>
      </c>
      <c r="G94" s="42">
        <f t="shared" si="11"/>
        <v>5.646391849672696E-2</v>
      </c>
      <c r="H94" s="42">
        <f t="shared" si="12"/>
        <v>0.27622772610863988</v>
      </c>
    </row>
    <row r="95" spans="1:8">
      <c r="A95" s="41">
        <v>44866</v>
      </c>
      <c r="B95">
        <v>56.52</v>
      </c>
      <c r="C95">
        <v>56.830002</v>
      </c>
      <c r="D95">
        <v>43.509998000000003</v>
      </c>
      <c r="E95">
        <v>52.599997999999999</v>
      </c>
      <c r="F95">
        <v>52.599997999999999</v>
      </c>
      <c r="G95" s="42">
        <f t="shared" si="11"/>
        <v>0.26655428043713664</v>
      </c>
      <c r="H95" s="42">
        <f t="shared" si="12"/>
        <v>0.30613662634505284</v>
      </c>
    </row>
    <row r="96" spans="1:8">
      <c r="A96" s="41">
        <v>44896</v>
      </c>
      <c r="B96">
        <v>52.66</v>
      </c>
      <c r="C96">
        <v>53.255001</v>
      </c>
      <c r="D96">
        <v>40.830002</v>
      </c>
      <c r="E96">
        <v>41.529998999999997</v>
      </c>
      <c r="F96">
        <v>41.529998999999997</v>
      </c>
      <c r="G96" s="42">
        <f t="shared" si="11"/>
        <v>-0.26986641578997167</v>
      </c>
      <c r="H96" s="42">
        <f t="shared" si="12"/>
        <v>0.30431051656573516</v>
      </c>
    </row>
    <row r="97" spans="1:8">
      <c r="A97" s="41">
        <v>44927</v>
      </c>
      <c r="B97">
        <v>42.540000999999997</v>
      </c>
      <c r="C97">
        <v>58.610000999999997</v>
      </c>
      <c r="D97">
        <v>40.900002000000001</v>
      </c>
      <c r="E97">
        <v>56.880001</v>
      </c>
      <c r="F97">
        <v>56.880001</v>
      </c>
      <c r="G97" s="42">
        <f t="shared" si="11"/>
        <v>1.9537551182334689E-2</v>
      </c>
      <c r="H97" s="42">
        <f t="shared" si="12"/>
        <v>0.43300728933949678</v>
      </c>
    </row>
    <row r="98" spans="1:8">
      <c r="A98" s="41">
        <v>44958</v>
      </c>
      <c r="B98">
        <v>56.799999</v>
      </c>
      <c r="C98">
        <v>61.389999000000003</v>
      </c>
      <c r="D98">
        <v>53.509998000000003</v>
      </c>
      <c r="E98">
        <v>55.790000999999997</v>
      </c>
      <c r="F98">
        <v>55.790000999999997</v>
      </c>
      <c r="G98" s="42">
        <f t="shared" si="11"/>
        <v>5.4063613117188158E-3</v>
      </c>
      <c r="H98" s="42">
        <f t="shared" si="12"/>
        <v>0.1472622181746297</v>
      </c>
    </row>
    <row r="99" spans="1:8">
      <c r="A99" s="41">
        <v>44986</v>
      </c>
      <c r="B99">
        <v>56.130001</v>
      </c>
      <c r="C99">
        <v>59.5</v>
      </c>
      <c r="D99">
        <v>52.009998000000003</v>
      </c>
      <c r="E99">
        <v>55.490001999999997</v>
      </c>
      <c r="F99">
        <v>55.490001999999997</v>
      </c>
      <c r="G99" s="42">
        <f t="shared" si="11"/>
        <v>1.2406513183606714E-2</v>
      </c>
      <c r="H99" s="42">
        <f t="shared" si="12"/>
        <v>0.14401081115211725</v>
      </c>
    </row>
    <row r="100" spans="1:8">
      <c r="A100" s="41">
        <v>45017</v>
      </c>
      <c r="B100">
        <v>55.34</v>
      </c>
      <c r="C100">
        <v>58.189999</v>
      </c>
      <c r="D100">
        <v>53.080002</v>
      </c>
      <c r="E100">
        <v>54.810001</v>
      </c>
      <c r="F100">
        <v>54.810001</v>
      </c>
      <c r="G100" s="42">
        <f t="shared" si="11"/>
        <v>-0.17167896846543665</v>
      </c>
      <c r="H100" s="42">
        <f t="shared" si="12"/>
        <v>9.6269721316137105E-2</v>
      </c>
    </row>
    <row r="101" spans="1:8">
      <c r="A101" s="41">
        <v>45047</v>
      </c>
      <c r="B101">
        <v>54.470001000000003</v>
      </c>
      <c r="C101">
        <v>71.934997999999993</v>
      </c>
      <c r="D101">
        <v>52.639999000000003</v>
      </c>
      <c r="E101">
        <v>66.169998000000007</v>
      </c>
      <c r="F101">
        <v>66.169998000000007</v>
      </c>
      <c r="G101" s="42">
        <f t="shared" si="11"/>
        <v>-0.14861043298236692</v>
      </c>
      <c r="H101" s="42">
        <f t="shared" si="12"/>
        <v>0.36654634054989227</v>
      </c>
    </row>
    <row r="102" spans="1:8">
      <c r="A102" s="41">
        <v>45078</v>
      </c>
      <c r="B102">
        <v>66.169998000000007</v>
      </c>
      <c r="C102">
        <v>79.330001999999993</v>
      </c>
      <c r="D102">
        <v>65.269997000000004</v>
      </c>
      <c r="E102">
        <v>77.720000999999996</v>
      </c>
      <c r="F102">
        <v>77.720000999999996</v>
      </c>
      <c r="G102" s="42">
        <f t="shared" si="11"/>
        <v>7.7255983659227779E-4</v>
      </c>
      <c r="H102" s="42">
        <f t="shared" si="12"/>
        <v>0.21541298676633905</v>
      </c>
    </row>
    <row r="103" spans="1:8">
      <c r="A103" s="41">
        <v>45108</v>
      </c>
      <c r="B103">
        <v>77.919998000000007</v>
      </c>
      <c r="C103">
        <v>80.580001999999993</v>
      </c>
      <c r="D103">
        <v>75.559997999999993</v>
      </c>
      <c r="E103">
        <v>77.660004000000001</v>
      </c>
      <c r="F103">
        <v>77.660004000000001</v>
      </c>
      <c r="G103" s="42">
        <f t="shared" si="11"/>
        <v>0.10942862857142859</v>
      </c>
      <c r="H103" s="42">
        <f t="shared" si="12"/>
        <v>6.6437323092570763E-2</v>
      </c>
    </row>
    <row r="104" spans="1:8">
      <c r="A104" s="41">
        <v>45139</v>
      </c>
      <c r="B104">
        <v>77.029999000000004</v>
      </c>
      <c r="C104">
        <v>80.489998</v>
      </c>
      <c r="D104">
        <v>67.889999000000003</v>
      </c>
      <c r="E104">
        <v>70</v>
      </c>
      <c r="F104">
        <v>70</v>
      </c>
      <c r="G104" s="42">
        <f t="shared" si="11"/>
        <v>0.20544170828310659</v>
      </c>
      <c r="H104" s="42">
        <f t="shared" si="12"/>
        <v>0.18559433179546808</v>
      </c>
    </row>
    <row r="105" spans="1:8">
      <c r="A105" s="41">
        <v>45170</v>
      </c>
      <c r="B105">
        <v>70.279999000000004</v>
      </c>
      <c r="C105">
        <v>70.860000999999997</v>
      </c>
      <c r="D105">
        <v>56.220001000000003</v>
      </c>
      <c r="E105">
        <v>58.07</v>
      </c>
      <c r="F105">
        <v>58.07</v>
      </c>
      <c r="G105" s="42">
        <f t="shared" si="11"/>
        <v>3.6224107133759752E-2</v>
      </c>
      <c r="H105" s="42">
        <f t="shared" si="12"/>
        <v>0.26040554499456509</v>
      </c>
    </row>
    <row r="106" spans="1:8">
      <c r="A106" s="41">
        <v>45200</v>
      </c>
      <c r="B106">
        <v>57.939999</v>
      </c>
      <c r="C106">
        <v>59.310001</v>
      </c>
      <c r="D106">
        <v>52.790000999999997</v>
      </c>
      <c r="E106">
        <v>56.040000999999997</v>
      </c>
      <c r="F106">
        <v>56.040000999999997</v>
      </c>
      <c r="G106" s="42">
        <f t="shared" si="11"/>
        <v>-7.4636722677729209E-2</v>
      </c>
      <c r="H106" s="42">
        <f t="shared" si="12"/>
        <v>0.1235082378573928</v>
      </c>
    </row>
    <row r="107" spans="1:8">
      <c r="A107" s="41">
        <v>45231</v>
      </c>
      <c r="B107">
        <v>56.189999</v>
      </c>
      <c r="C107">
        <v>63.18</v>
      </c>
      <c r="D107">
        <v>54.060001</v>
      </c>
      <c r="E107">
        <v>60.560001</v>
      </c>
      <c r="F107">
        <v>60.560001</v>
      </c>
      <c r="G107" s="42">
        <f t="shared" si="11"/>
        <v>-0.182946592703187</v>
      </c>
      <c r="H107" s="42">
        <f t="shared" si="12"/>
        <v>0.16870142122268922</v>
      </c>
    </row>
    <row r="108" spans="1:8">
      <c r="A108" s="41">
        <v>45261</v>
      </c>
      <c r="B108">
        <v>60.259998000000003</v>
      </c>
      <c r="C108">
        <v>76.738997999999995</v>
      </c>
      <c r="D108">
        <v>59.938999000000003</v>
      </c>
      <c r="E108">
        <v>74.120002999999997</v>
      </c>
      <c r="F108">
        <v>74.120002999999997</v>
      </c>
      <c r="G108" s="42">
        <f t="shared" si="11"/>
        <v>-1.9057636819947987E-2</v>
      </c>
      <c r="H108" s="42">
        <f t="shared" si="12"/>
        <v>0.28028494436485318</v>
      </c>
    </row>
    <row r="109" spans="1:8">
      <c r="A109" s="41">
        <v>45292</v>
      </c>
      <c r="B109">
        <v>73.150002000000001</v>
      </c>
      <c r="C109">
        <v>78.949996999999996</v>
      </c>
      <c r="D109">
        <v>64.160004000000001</v>
      </c>
      <c r="E109">
        <v>75.559997999999993</v>
      </c>
      <c r="F109">
        <v>75.559997999999993</v>
      </c>
      <c r="G109" s="42">
        <f t="shared" si="11"/>
        <v>-0.28931529345372464</v>
      </c>
      <c r="H109" s="42">
        <f t="shared" si="12"/>
        <v>0.23051733288545298</v>
      </c>
    </row>
    <row r="110" spans="1:8">
      <c r="A110" s="41">
        <v>45323</v>
      </c>
      <c r="B110">
        <v>76.110000999999997</v>
      </c>
      <c r="C110">
        <v>107.410004</v>
      </c>
      <c r="D110">
        <v>73.754997000000003</v>
      </c>
      <c r="E110">
        <v>106.32</v>
      </c>
      <c r="F110">
        <v>106.32</v>
      </c>
      <c r="G110" s="42">
        <f t="shared" si="11"/>
        <v>2.5957763947440721E-2</v>
      </c>
      <c r="H110" s="42">
        <f t="shared" si="12"/>
        <v>0.45630816038132299</v>
      </c>
    </row>
    <row r="111" spans="1:8">
      <c r="A111" s="41">
        <v>45352</v>
      </c>
      <c r="B111">
        <v>106.339996</v>
      </c>
      <c r="C111">
        <v>108.389999</v>
      </c>
      <c r="D111">
        <v>99.150002000000001</v>
      </c>
      <c r="E111">
        <v>103.629997</v>
      </c>
      <c r="F111">
        <v>103.629997</v>
      </c>
      <c r="G111" s="42">
        <f t="shared" si="11"/>
        <v>0</v>
      </c>
      <c r="H111" s="42">
        <f t="shared" si="12"/>
        <v>9.3192100994612212E-2</v>
      </c>
    </row>
    <row r="112" spans="1:8">
      <c r="A112" s="41">
        <v>45359</v>
      </c>
      <c r="B112">
        <v>105.110001</v>
      </c>
      <c r="C112">
        <v>106.537598</v>
      </c>
      <c r="D112">
        <v>103.050003</v>
      </c>
      <c r="E112">
        <v>103.629997</v>
      </c>
      <c r="F112">
        <v>103.629997</v>
      </c>
      <c r="H112" s="42">
        <f t="shared" si="12"/>
        <v>3.3843715657145577E-2</v>
      </c>
    </row>
    <row r="252" spans="8:8">
      <c r="H252" s="42" t="e">
        <f t="shared" ref="H252:H309" si="13">(C252-D252)/D252</f>
        <v>#DIV/0!</v>
      </c>
    </row>
  </sheetData>
  <mergeCells count="2">
    <mergeCell ref="J1:O1"/>
    <mergeCell ref="J42:O4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7BBE9-E17C-4141-8B01-B0BCBC32AA29}">
  <dimension ref="A2:V10"/>
  <sheetViews>
    <sheetView workbookViewId="0">
      <selection activeCell="F18" sqref="F18"/>
    </sheetView>
  </sheetViews>
  <sheetFormatPr defaultRowHeight="14.25"/>
  <cols>
    <col min="1" max="1" width="31.46484375" bestFit="1" customWidth="1"/>
    <col min="2" max="2" width="20.06640625" bestFit="1" customWidth="1"/>
    <col min="3" max="3" width="11.86328125" customWidth="1"/>
    <col min="8" max="8" width="9.06640625" style="110"/>
  </cols>
  <sheetData>
    <row r="2" spans="1:22">
      <c r="A2" t="s">
        <v>149</v>
      </c>
      <c r="B2" t="s">
        <v>150</v>
      </c>
      <c r="C2" t="s">
        <v>151</v>
      </c>
    </row>
    <row r="3" spans="1:22">
      <c r="B3" t="s">
        <v>152</v>
      </c>
      <c r="C3" t="s">
        <v>153</v>
      </c>
      <c r="D3" t="s">
        <v>154</v>
      </c>
      <c r="E3" t="s">
        <v>155</v>
      </c>
    </row>
    <row r="4" spans="1:22">
      <c r="A4" t="s">
        <v>156</v>
      </c>
      <c r="B4" t="s">
        <v>157</v>
      </c>
      <c r="C4" t="s">
        <v>158</v>
      </c>
      <c r="D4" t="s">
        <v>159</v>
      </c>
      <c r="E4" t="s">
        <v>160</v>
      </c>
      <c r="F4" t="s">
        <v>161</v>
      </c>
      <c r="G4" t="s">
        <v>162</v>
      </c>
      <c r="H4" s="5" t="s">
        <v>163</v>
      </c>
      <c r="I4" t="s">
        <v>164</v>
      </c>
      <c r="J4" t="s">
        <v>165</v>
      </c>
      <c r="K4" t="s">
        <v>166</v>
      </c>
      <c r="L4" t="s">
        <v>167</v>
      </c>
      <c r="M4" t="s">
        <v>168</v>
      </c>
      <c r="N4" t="s">
        <v>158</v>
      </c>
      <c r="O4" t="s">
        <v>159</v>
      </c>
      <c r="P4" t="s">
        <v>160</v>
      </c>
      <c r="Q4" t="s">
        <v>161</v>
      </c>
      <c r="R4" t="s">
        <v>162</v>
      </c>
      <c r="S4" t="s">
        <v>163</v>
      </c>
      <c r="T4" t="s">
        <v>164</v>
      </c>
      <c r="U4" t="s">
        <v>165</v>
      </c>
      <c r="V4" t="s">
        <v>166</v>
      </c>
    </row>
    <row r="5" spans="1:22">
      <c r="A5" t="s">
        <v>169</v>
      </c>
      <c r="B5" t="s">
        <v>170</v>
      </c>
      <c r="C5">
        <v>19.899999999999999</v>
      </c>
      <c r="D5">
        <v>0</v>
      </c>
      <c r="E5">
        <v>21.7</v>
      </c>
      <c r="F5">
        <v>24.7</v>
      </c>
      <c r="G5">
        <v>0</v>
      </c>
      <c r="H5" s="5">
        <v>0.44719999999999999</v>
      </c>
      <c r="I5">
        <v>0.70109999999999995</v>
      </c>
      <c r="J5">
        <v>8.0999999999999996E-3</v>
      </c>
      <c r="K5">
        <v>108</v>
      </c>
      <c r="L5">
        <v>95</v>
      </c>
      <c r="M5" t="s">
        <v>171</v>
      </c>
      <c r="N5">
        <v>10.029999999999999</v>
      </c>
      <c r="O5">
        <v>0</v>
      </c>
      <c r="P5">
        <v>10.199999999999999</v>
      </c>
      <c r="Q5">
        <v>10.9</v>
      </c>
      <c r="R5">
        <v>0</v>
      </c>
      <c r="S5">
        <v>0.44319999999999998</v>
      </c>
      <c r="T5">
        <v>-0.31159999999999999</v>
      </c>
      <c r="U5">
        <v>8.6E-3</v>
      </c>
      <c r="V5">
        <v>90</v>
      </c>
    </row>
    <row r="6" spans="1:22">
      <c r="A6" t="s">
        <v>169</v>
      </c>
      <c r="B6" t="s">
        <v>172</v>
      </c>
      <c r="C6">
        <v>0</v>
      </c>
      <c r="D6">
        <v>0</v>
      </c>
      <c r="E6">
        <v>21.2</v>
      </c>
      <c r="F6">
        <v>22.2</v>
      </c>
      <c r="G6">
        <v>0</v>
      </c>
      <c r="H6" s="5">
        <v>0.4405</v>
      </c>
      <c r="I6">
        <v>0.67920000000000003</v>
      </c>
      <c r="J6">
        <v>8.3999999999999995E-3</v>
      </c>
      <c r="K6">
        <v>0</v>
      </c>
      <c r="L6">
        <v>97.5</v>
      </c>
      <c r="M6" t="s">
        <v>173</v>
      </c>
      <c r="N6">
        <v>12.5</v>
      </c>
      <c r="O6">
        <v>0</v>
      </c>
      <c r="P6">
        <v>10.7</v>
      </c>
      <c r="Q6">
        <v>12.2</v>
      </c>
      <c r="R6">
        <v>0</v>
      </c>
      <c r="S6">
        <v>0.43569999999999998</v>
      </c>
      <c r="T6">
        <v>-0.3352</v>
      </c>
      <c r="U6">
        <v>8.9999999999999993E-3</v>
      </c>
      <c r="V6">
        <v>10</v>
      </c>
    </row>
    <row r="7" spans="1:22">
      <c r="A7" t="s">
        <v>169</v>
      </c>
      <c r="B7" t="s">
        <v>174</v>
      </c>
      <c r="C7">
        <v>22</v>
      </c>
      <c r="D7">
        <v>0</v>
      </c>
      <c r="E7">
        <v>20.399999999999999</v>
      </c>
      <c r="F7">
        <v>22.7</v>
      </c>
      <c r="G7">
        <v>0</v>
      </c>
      <c r="H7" s="5">
        <v>0.47060000000000002</v>
      </c>
      <c r="I7">
        <v>0.65710000000000002</v>
      </c>
      <c r="J7">
        <v>8.6E-3</v>
      </c>
      <c r="K7">
        <v>126</v>
      </c>
      <c r="L7">
        <v>100</v>
      </c>
      <c r="M7" t="s">
        <v>175</v>
      </c>
      <c r="N7">
        <v>12.6</v>
      </c>
      <c r="O7">
        <v>-0.1</v>
      </c>
      <c r="P7">
        <v>12.4</v>
      </c>
      <c r="Q7">
        <v>13.2</v>
      </c>
      <c r="R7">
        <v>1</v>
      </c>
      <c r="S7">
        <v>0.43940000000000001</v>
      </c>
      <c r="T7">
        <v>-0.35909999999999997</v>
      </c>
      <c r="U7">
        <v>9.2999999999999992E-3</v>
      </c>
      <c r="V7">
        <v>94</v>
      </c>
    </row>
    <row r="8" spans="1:22" s="5" customFormat="1">
      <c r="A8" s="5" t="s">
        <v>169</v>
      </c>
      <c r="B8" s="5" t="s">
        <v>176</v>
      </c>
      <c r="C8" s="5">
        <v>18.5</v>
      </c>
      <c r="D8" s="5">
        <v>0</v>
      </c>
      <c r="E8" s="5">
        <v>18</v>
      </c>
      <c r="F8" s="5">
        <v>18.600000000000001</v>
      </c>
      <c r="G8" s="5">
        <v>0</v>
      </c>
      <c r="H8" s="6">
        <v>0.44269999999999998</v>
      </c>
      <c r="I8" s="5">
        <v>0.61229999999999996</v>
      </c>
      <c r="J8" s="5">
        <v>8.9999999999999993E-3</v>
      </c>
      <c r="K8" s="5">
        <v>96</v>
      </c>
      <c r="L8" s="5">
        <v>105</v>
      </c>
      <c r="M8" s="5" t="s">
        <v>177</v>
      </c>
      <c r="N8" s="5">
        <v>15</v>
      </c>
      <c r="O8" s="5">
        <v>0</v>
      </c>
      <c r="P8" s="5">
        <v>15.1</v>
      </c>
      <c r="Q8" s="5">
        <v>15.7</v>
      </c>
      <c r="R8" s="5">
        <v>0</v>
      </c>
      <c r="S8" s="5">
        <v>0.43869999999999998</v>
      </c>
      <c r="T8" s="5">
        <v>-0.40760000000000002</v>
      </c>
      <c r="U8" s="5">
        <v>9.7999999999999997E-3</v>
      </c>
      <c r="V8" s="5">
        <v>70</v>
      </c>
    </row>
    <row r="9" spans="1:22">
      <c r="A9" t="s">
        <v>169</v>
      </c>
      <c r="B9" t="s">
        <v>178</v>
      </c>
      <c r="C9">
        <v>16.25</v>
      </c>
      <c r="D9">
        <v>-0.4</v>
      </c>
      <c r="E9">
        <v>16</v>
      </c>
      <c r="F9">
        <v>16.399999999999999</v>
      </c>
      <c r="G9">
        <v>10</v>
      </c>
      <c r="H9" s="5">
        <v>0.441</v>
      </c>
      <c r="I9">
        <v>0.56769999999999998</v>
      </c>
      <c r="J9">
        <v>9.2999999999999992E-3</v>
      </c>
      <c r="K9">
        <v>583</v>
      </c>
      <c r="L9">
        <v>110</v>
      </c>
      <c r="M9" t="s">
        <v>179</v>
      </c>
      <c r="N9">
        <v>19.2</v>
      </c>
      <c r="O9">
        <v>0</v>
      </c>
      <c r="P9">
        <v>17.3</v>
      </c>
      <c r="Q9">
        <v>18.399999999999999</v>
      </c>
      <c r="R9">
        <v>0</v>
      </c>
      <c r="S9">
        <v>0.42749999999999999</v>
      </c>
      <c r="T9">
        <v>-0.45679999999999998</v>
      </c>
      <c r="U9">
        <v>1.03E-2</v>
      </c>
      <c r="V9">
        <v>33</v>
      </c>
    </row>
    <row r="10" spans="1:22">
      <c r="A10" t="s">
        <v>169</v>
      </c>
      <c r="B10" t="s">
        <v>180</v>
      </c>
      <c r="C10">
        <v>14.1</v>
      </c>
      <c r="D10">
        <v>-0.1</v>
      </c>
      <c r="E10">
        <v>14</v>
      </c>
      <c r="F10">
        <v>14.4</v>
      </c>
      <c r="G10">
        <v>28</v>
      </c>
      <c r="H10" s="5">
        <v>0.43640000000000001</v>
      </c>
      <c r="I10">
        <v>0.52400000000000002</v>
      </c>
      <c r="J10">
        <v>9.4999999999999998E-3</v>
      </c>
      <c r="K10">
        <v>252</v>
      </c>
      <c r="L10">
        <v>115</v>
      </c>
      <c r="M10" t="s">
        <v>181</v>
      </c>
      <c r="N10">
        <v>19.600000000000001</v>
      </c>
      <c r="O10">
        <v>0</v>
      </c>
      <c r="P10">
        <v>20.7</v>
      </c>
      <c r="Q10">
        <v>21.4</v>
      </c>
      <c r="R10">
        <v>0</v>
      </c>
      <c r="S10">
        <v>0.43030000000000002</v>
      </c>
      <c r="T10">
        <v>-0.50570000000000004</v>
      </c>
      <c r="U10">
        <v>1.06E-2</v>
      </c>
      <c r="V10">
        <v>15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D235E-814B-43E0-97BF-1CED966E9DF3}">
  <dimension ref="A1"/>
  <sheetViews>
    <sheetView workbookViewId="0">
      <selection activeCell="H15" sqref="H15"/>
    </sheetView>
  </sheetViews>
  <sheetFormatPr defaultRowHeight="14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9535B-4422-4D5D-9CF7-CF9D927F82F8}">
  <dimension ref="A1:F19"/>
  <sheetViews>
    <sheetView workbookViewId="0">
      <selection activeCell="M13" sqref="M13"/>
    </sheetView>
  </sheetViews>
  <sheetFormatPr defaultRowHeight="14.25"/>
  <cols>
    <col min="1" max="1" width="33.6640625" bestFit="1" customWidth="1"/>
    <col min="3" max="3" width="10.59765625" bestFit="1" customWidth="1"/>
    <col min="5" max="5" width="9.73046875" customWidth="1"/>
  </cols>
  <sheetData>
    <row r="1" spans="1:6">
      <c r="A1" t="s">
        <v>66</v>
      </c>
      <c r="B1">
        <v>2023</v>
      </c>
      <c r="C1" t="s">
        <v>53</v>
      </c>
      <c r="D1">
        <v>2022</v>
      </c>
      <c r="E1" t="s">
        <v>53</v>
      </c>
    </row>
    <row r="2" spans="1:6">
      <c r="A2" t="s">
        <v>67</v>
      </c>
      <c r="B2" s="16">
        <v>305041</v>
      </c>
      <c r="C2" s="2">
        <v>0.29099999999999998</v>
      </c>
      <c r="D2" s="16">
        <v>261584</v>
      </c>
      <c r="E2" s="2">
        <v>0.30099999999999999</v>
      </c>
    </row>
    <row r="3" spans="1:6">
      <c r="A3" s="17" t="s">
        <v>81</v>
      </c>
      <c r="B3" s="16"/>
      <c r="C3" s="2"/>
      <c r="D3" s="16"/>
      <c r="E3" s="2"/>
    </row>
    <row r="4" spans="1:6">
      <c r="A4" t="s">
        <v>68</v>
      </c>
      <c r="B4" s="16">
        <v>304254</v>
      </c>
      <c r="C4" s="2">
        <v>0.29099999999999998</v>
      </c>
      <c r="D4" s="16">
        <v>257358</v>
      </c>
      <c r="E4" s="2">
        <v>0.29599999999999999</v>
      </c>
    </row>
    <row r="5" spans="1:6">
      <c r="A5" s="17" t="s">
        <v>76</v>
      </c>
      <c r="B5" s="16"/>
      <c r="C5" s="2"/>
      <c r="D5" s="16"/>
      <c r="E5" s="2"/>
    </row>
    <row r="6" spans="1:6">
      <c r="A6" t="s">
        <v>69</v>
      </c>
      <c r="B6" s="16">
        <v>149449</v>
      </c>
      <c r="C6" s="2">
        <v>0.14299999999999999</v>
      </c>
      <c r="D6" s="16">
        <v>129650</v>
      </c>
      <c r="E6" s="2">
        <v>0.14899999999999999</v>
      </c>
    </row>
    <row r="7" spans="1:6">
      <c r="A7" t="s">
        <v>70</v>
      </c>
      <c r="B7" s="16">
        <v>79846</v>
      </c>
      <c r="C7" s="2">
        <v>7.5999999999999998E-2</v>
      </c>
      <c r="D7" s="16">
        <v>68508</v>
      </c>
      <c r="E7" s="2">
        <v>7.9000000000000001E-2</v>
      </c>
    </row>
    <row r="8" spans="1:6">
      <c r="A8" t="s">
        <v>71</v>
      </c>
      <c r="B8" s="16">
        <v>129542</v>
      </c>
      <c r="C8" s="2">
        <v>0.11899999999999999</v>
      </c>
      <c r="D8" s="16">
        <v>120009</v>
      </c>
      <c r="E8" s="2">
        <v>0.13300000000000001</v>
      </c>
    </row>
    <row r="9" spans="1:6">
      <c r="A9" t="s">
        <v>72</v>
      </c>
      <c r="B9" s="16">
        <v>91242</v>
      </c>
      <c r="C9" s="2">
        <v>8.4000000000000005E-2</v>
      </c>
      <c r="D9" s="16">
        <v>72796</v>
      </c>
      <c r="E9" s="2">
        <v>8.1000000000000003E-2</v>
      </c>
    </row>
    <row r="10" spans="1:6">
      <c r="A10" t="s">
        <v>73</v>
      </c>
      <c r="B10" s="16">
        <v>19231</v>
      </c>
      <c r="C10" s="2">
        <v>1.7999999999999999E-2</v>
      </c>
      <c r="D10" s="16">
        <v>15050</v>
      </c>
      <c r="E10" s="2">
        <v>1.7000000000000001E-2</v>
      </c>
    </row>
    <row r="11" spans="1:6">
      <c r="A11" t="s">
        <v>74</v>
      </c>
      <c r="B11" s="16">
        <v>3007</v>
      </c>
      <c r="C11" s="2">
        <v>3.0000000000000001E-3</v>
      </c>
      <c r="D11" s="16">
        <v>2425</v>
      </c>
      <c r="E11" s="2">
        <v>3.0000000000000001E-3</v>
      </c>
    </row>
    <row r="12" spans="1:6">
      <c r="A12" t="s">
        <v>75</v>
      </c>
      <c r="B12" s="16">
        <v>1081612</v>
      </c>
      <c r="C12" s="2">
        <v>0.995</v>
      </c>
      <c r="D12" s="16">
        <v>927380</v>
      </c>
      <c r="E12" s="2">
        <v>1.03</v>
      </c>
    </row>
    <row r="14" spans="1:6">
      <c r="A14" t="s">
        <v>77</v>
      </c>
    </row>
    <row r="16" spans="1:6">
      <c r="A16" s="17" t="s">
        <v>78</v>
      </c>
      <c r="B16">
        <v>2023</v>
      </c>
      <c r="C16" s="18" t="s">
        <v>49</v>
      </c>
      <c r="D16" s="18" t="s">
        <v>50</v>
      </c>
      <c r="E16" s="18" t="s">
        <v>51</v>
      </c>
      <c r="F16" s="18" t="s">
        <v>80</v>
      </c>
    </row>
    <row r="17" spans="1:6">
      <c r="A17" s="17" t="s">
        <v>79</v>
      </c>
      <c r="B17" s="2">
        <v>5.4000000000000003E-3</v>
      </c>
      <c r="C17" s="19">
        <v>2.4199999999999999E-2</v>
      </c>
      <c r="D17" s="19">
        <v>3.2800000000000003E-2</v>
      </c>
      <c r="E17" s="19">
        <v>3.9199999999999999E-2</v>
      </c>
      <c r="F17" s="19">
        <v>5.8400000000000001E-2</v>
      </c>
    </row>
    <row r="18" spans="1:6">
      <c r="D18" t="s">
        <v>93</v>
      </c>
    </row>
    <row r="19" spans="1:6">
      <c r="D19" t="s">
        <v>92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1B334-F8F1-47FA-BD87-67812831091A}">
  <dimension ref="A1:L15"/>
  <sheetViews>
    <sheetView workbookViewId="0">
      <selection activeCell="H15" sqref="H15"/>
    </sheetView>
  </sheetViews>
  <sheetFormatPr defaultRowHeight="14.25"/>
  <cols>
    <col min="1" max="1" width="23.59765625" bestFit="1" customWidth="1"/>
    <col min="12" max="12" width="9.06640625" style="17"/>
  </cols>
  <sheetData>
    <row r="1" spans="1:12" ht="15.75">
      <c r="A1" s="22" t="s">
        <v>86</v>
      </c>
    </row>
    <row r="2" spans="1:12" ht="13.9" customHeight="1">
      <c r="B2">
        <v>2014</v>
      </c>
      <c r="C2">
        <v>2015</v>
      </c>
      <c r="D2">
        <v>2016</v>
      </c>
      <c r="E2">
        <v>2017</v>
      </c>
      <c r="F2">
        <v>2018</v>
      </c>
      <c r="G2">
        <v>2019</v>
      </c>
      <c r="H2">
        <v>2020</v>
      </c>
      <c r="I2">
        <v>2021</v>
      </c>
      <c r="J2">
        <v>2022</v>
      </c>
      <c r="K2">
        <v>2023</v>
      </c>
    </row>
    <row r="3" spans="1:12">
      <c r="A3" t="s">
        <v>88</v>
      </c>
      <c r="B3">
        <v>118.5</v>
      </c>
      <c r="C3">
        <v>190.6</v>
      </c>
      <c r="D3">
        <v>268.5</v>
      </c>
      <c r="E3">
        <v>358.8</v>
      </c>
      <c r="F3">
        <v>459.3</v>
      </c>
      <c r="G3">
        <v>594.5</v>
      </c>
      <c r="H3">
        <v>522.9</v>
      </c>
      <c r="I3">
        <v>739.9</v>
      </c>
      <c r="J3">
        <v>900.5</v>
      </c>
      <c r="K3">
        <v>1087.5</v>
      </c>
    </row>
    <row r="4" spans="1:12">
      <c r="A4" t="s">
        <v>89</v>
      </c>
      <c r="B4">
        <v>63</v>
      </c>
      <c r="C4">
        <v>84</v>
      </c>
      <c r="D4">
        <v>114</v>
      </c>
      <c r="E4">
        <v>159</v>
      </c>
      <c r="F4">
        <v>208</v>
      </c>
      <c r="G4">
        <v>275</v>
      </c>
      <c r="H4">
        <v>311</v>
      </c>
      <c r="I4">
        <v>369</v>
      </c>
      <c r="J4">
        <v>436</v>
      </c>
      <c r="K4">
        <v>518</v>
      </c>
    </row>
    <row r="5" spans="1:12">
      <c r="B5" s="23">
        <f>B3/B4</f>
        <v>1.8809523809523809</v>
      </c>
      <c r="C5" s="23">
        <f t="shared" ref="C5:L5" si="0">C3/C4</f>
        <v>2.269047619047619</v>
      </c>
      <c r="D5" s="23">
        <f t="shared" si="0"/>
        <v>2.3552631578947367</v>
      </c>
      <c r="E5" s="23">
        <f t="shared" si="0"/>
        <v>2.2566037735849056</v>
      </c>
      <c r="F5" s="23">
        <f t="shared" si="0"/>
        <v>2.2081730769230772</v>
      </c>
      <c r="G5" s="23">
        <f t="shared" si="0"/>
        <v>2.1618181818181816</v>
      </c>
      <c r="H5" s="23">
        <f t="shared" si="0"/>
        <v>1.6813504823151124</v>
      </c>
      <c r="I5" s="23">
        <f t="shared" si="0"/>
        <v>2.0051490514905148</v>
      </c>
      <c r="J5" s="23">
        <f t="shared" si="0"/>
        <v>2.0653669724770642</v>
      </c>
      <c r="K5" s="23">
        <f t="shared" si="0"/>
        <v>2.0994208494208495</v>
      </c>
      <c r="L5" s="24"/>
    </row>
    <row r="6" spans="1:12">
      <c r="G6" t="s">
        <v>91</v>
      </c>
      <c r="H6" t="s">
        <v>90</v>
      </c>
    </row>
    <row r="7" spans="1:12" ht="14.65" thickBot="1"/>
    <row r="8" spans="1:12">
      <c r="A8" s="28" t="s">
        <v>95</v>
      </c>
      <c r="B8" s="29"/>
    </row>
    <row r="9" spans="1:12">
      <c r="A9" s="30" t="s">
        <v>96</v>
      </c>
      <c r="B9" s="31">
        <v>598</v>
      </c>
    </row>
    <row r="10" spans="1:12">
      <c r="A10" s="30" t="s">
        <v>97</v>
      </c>
      <c r="B10" s="32">
        <f>K5</f>
        <v>2.0994208494208495</v>
      </c>
    </row>
    <row r="11" spans="1:12">
      <c r="A11" s="30" t="s">
        <v>98</v>
      </c>
      <c r="B11" s="31">
        <f>B10*B9</f>
        <v>1255.4536679536679</v>
      </c>
    </row>
    <row r="12" spans="1:12">
      <c r="A12" s="30" t="s">
        <v>99</v>
      </c>
      <c r="B12" s="31">
        <f>1230</f>
        <v>1230</v>
      </c>
    </row>
    <row r="13" spans="1:12">
      <c r="A13" s="30" t="s">
        <v>100</v>
      </c>
      <c r="B13" s="33">
        <f>(B11-B12)/B12</f>
        <v>2.0694038986721907E-2</v>
      </c>
    </row>
    <row r="14" spans="1:12">
      <c r="A14" s="30" t="s">
        <v>101</v>
      </c>
      <c r="B14" s="31">
        <f>IS!L3</f>
        <v>1247</v>
      </c>
    </row>
    <row r="15" spans="1:12" ht="14.65" thickBot="1">
      <c r="A15" s="34" t="s">
        <v>100</v>
      </c>
      <c r="B15" s="35">
        <f>(B11-B14)/B14</f>
        <v>6.7792044536230519E-3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065A0-B6D2-41CB-A5BB-D2F7AE705879}">
  <dimension ref="A1:N8"/>
  <sheetViews>
    <sheetView workbookViewId="0">
      <selection activeCell="C14" sqref="C14"/>
    </sheetView>
  </sheetViews>
  <sheetFormatPr defaultRowHeight="14.25"/>
  <cols>
    <col min="1" max="1" width="49.19921875" bestFit="1" customWidth="1"/>
  </cols>
  <sheetData>
    <row r="1" spans="1:1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20" t="s">
        <v>49</v>
      </c>
      <c r="M1" s="20" t="s">
        <v>50</v>
      </c>
      <c r="N1" s="20" t="s">
        <v>51</v>
      </c>
    </row>
    <row r="2" spans="1:14">
      <c r="A2" t="s">
        <v>82</v>
      </c>
      <c r="B2">
        <v>13.6</v>
      </c>
      <c r="C2">
        <v>41.3</v>
      </c>
      <c r="D2">
        <v>54.3</v>
      </c>
      <c r="E2">
        <v>70.900000000000006</v>
      </c>
      <c r="F2">
        <v>85.4</v>
      </c>
      <c r="G2">
        <v>89.9</v>
      </c>
      <c r="H2">
        <v>37.4</v>
      </c>
      <c r="I2">
        <v>58.4</v>
      </c>
      <c r="J2">
        <v>76.7</v>
      </c>
      <c r="K2">
        <v>132.1</v>
      </c>
      <c r="L2" s="20">
        <v>166</v>
      </c>
      <c r="M2" s="20">
        <v>185</v>
      </c>
      <c r="N2" s="20"/>
    </row>
    <row r="3" spans="1:14">
      <c r="A3" t="s">
        <v>83</v>
      </c>
      <c r="B3">
        <v>-28.5</v>
      </c>
      <c r="C3">
        <v>-32.1</v>
      </c>
      <c r="D3">
        <v>-54.4</v>
      </c>
      <c r="E3">
        <v>-61.5</v>
      </c>
      <c r="F3">
        <v>-87.5</v>
      </c>
      <c r="G3">
        <v>-106.5</v>
      </c>
      <c r="H3">
        <v>-69</v>
      </c>
      <c r="I3">
        <v>-101.5</v>
      </c>
      <c r="J3">
        <v>-142.6</v>
      </c>
      <c r="K3">
        <v>-146.19999999999999</v>
      </c>
      <c r="L3" s="20">
        <v>151</v>
      </c>
      <c r="M3" s="20">
        <v>159</v>
      </c>
      <c r="N3" s="20">
        <v>163</v>
      </c>
    </row>
    <row r="4" spans="1:14" ht="16.5" customHeight="1">
      <c r="L4" s="20"/>
      <c r="M4" s="20"/>
      <c r="N4" s="20"/>
    </row>
    <row r="5" spans="1:14">
      <c r="A5" t="s">
        <v>84</v>
      </c>
      <c r="B5">
        <v>-14.9</v>
      </c>
      <c r="C5">
        <v>9.1</v>
      </c>
      <c r="D5">
        <v>-0.1</v>
      </c>
      <c r="E5">
        <v>9.3000000000000007</v>
      </c>
      <c r="F5">
        <v>-2.1</v>
      </c>
      <c r="G5">
        <v>-16.7</v>
      </c>
      <c r="H5">
        <v>-31.7</v>
      </c>
      <c r="I5">
        <v>-43.1</v>
      </c>
      <c r="J5">
        <v>-65.8</v>
      </c>
      <c r="K5">
        <v>-14</v>
      </c>
      <c r="L5" s="20">
        <v>1</v>
      </c>
      <c r="M5" s="20">
        <v>20</v>
      </c>
      <c r="N5" s="20">
        <v>41</v>
      </c>
    </row>
    <row r="6" spans="1:14">
      <c r="L6" s="21" t="s">
        <v>85</v>
      </c>
      <c r="M6" s="20"/>
      <c r="N6" s="20"/>
    </row>
    <row r="7" spans="1:14">
      <c r="L7" s="20"/>
      <c r="M7" s="20"/>
      <c r="N7" s="20"/>
    </row>
    <row r="8" spans="1:14">
      <c r="L8" s="20"/>
      <c r="M8" s="20"/>
      <c r="N8" s="2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31C23-432D-4AE7-AF0A-FED8E6C54F7E}">
  <dimension ref="A1:L21"/>
  <sheetViews>
    <sheetView workbookViewId="0">
      <selection activeCell="M11" sqref="M11"/>
    </sheetView>
  </sheetViews>
  <sheetFormatPr defaultRowHeight="14.25"/>
  <cols>
    <col min="1" max="1" width="13.86328125" bestFit="1" customWidth="1"/>
  </cols>
  <sheetData>
    <row r="1" spans="1:12">
      <c r="L1" t="s">
        <v>102</v>
      </c>
    </row>
    <row r="2" spans="1:12">
      <c r="A2" s="2"/>
      <c r="L2">
        <v>103.63</v>
      </c>
    </row>
    <row r="4" spans="1:12">
      <c r="L4" t="s">
        <v>103</v>
      </c>
    </row>
    <row r="5" spans="1:12">
      <c r="L5" s="36">
        <f>L2/150.5*165.5</f>
        <v>113.95857142857142</v>
      </c>
    </row>
    <row r="6" spans="1:12" ht="9.75" customHeight="1">
      <c r="A6" s="2"/>
    </row>
    <row r="7" spans="1:12">
      <c r="L7" t="s">
        <v>104</v>
      </c>
    </row>
    <row r="8" spans="1:12">
      <c r="A8" s="2"/>
      <c r="L8" s="1">
        <f>(L5-L2)/L2</f>
        <v>9.9667774086378683E-2</v>
      </c>
    </row>
    <row r="10" spans="1:12">
      <c r="A10" s="2"/>
    </row>
    <row r="12" spans="1:12">
      <c r="A12" s="2"/>
    </row>
    <row r="14" spans="1:12">
      <c r="A14" s="2"/>
    </row>
    <row r="16" spans="1:12">
      <c r="A16" s="2"/>
    </row>
    <row r="19" spans="1:1">
      <c r="A19" s="2"/>
    </row>
    <row r="21" spans="1:1">
      <c r="A21" s="2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FAE65-6071-4A21-9F63-8A0046AD8955}">
  <dimension ref="K1:K3"/>
  <sheetViews>
    <sheetView workbookViewId="0">
      <selection activeCell="K10" sqref="K10"/>
    </sheetView>
  </sheetViews>
  <sheetFormatPr defaultRowHeight="14.25"/>
  <sheetData>
    <row r="1" spans="11:11">
      <c r="K1" t="s">
        <v>182</v>
      </c>
    </row>
    <row r="2" spans="11:11">
      <c r="K2" t="s">
        <v>183</v>
      </c>
    </row>
    <row r="3" spans="11:11">
      <c r="K3" t="s">
        <v>184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IS</vt:lpstr>
      <vt:lpstr>Volatility</vt:lpstr>
      <vt:lpstr>IV</vt:lpstr>
      <vt:lpstr>Company Guidance</vt:lpstr>
      <vt:lpstr>Cost Structure</vt:lpstr>
      <vt:lpstr>Unit Economics</vt:lpstr>
      <vt:lpstr>FCF</vt:lpstr>
      <vt:lpstr>Valuation</vt:lpstr>
      <vt:lpstr>EPS Revision &amp; Performance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瑞泽 夏</dc:creator>
  <cp:lastModifiedBy>瑞泽 夏</cp:lastModifiedBy>
  <dcterms:created xsi:type="dcterms:W3CDTF">2024-03-09T16:09:24Z</dcterms:created>
  <dcterms:modified xsi:type="dcterms:W3CDTF">2024-03-10T06:52:55Z</dcterms:modified>
</cp:coreProperties>
</file>