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EE3E0337-177B-4733-A985-4C94A6A9A31D}" xr6:coauthVersionLast="47" xr6:coauthVersionMax="47" xr10:uidLastSave="{00000000-0000-0000-0000-000000000000}"/>
  <bookViews>
    <workbookView xWindow="-110" yWindow="-110" windowWidth="25820" windowHeight="15500" xr2:uid="{3AB92267-6588-4591-8ADC-7BA7D66023D1}"/>
  </bookViews>
  <sheets>
    <sheet name="DCF" sheetId="1" r:id="rId1"/>
    <sheet name="WACC" sheetId="5" r:id="rId2"/>
    <sheet name="IS Reference" sheetId="2" r:id="rId3"/>
    <sheet name="Sheet3" sheetId="3" r:id="rId4"/>
    <sheet name="Sheet4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0" i="1" l="1"/>
  <c r="O72" i="1" s="1"/>
  <c r="P72" i="1" s="1"/>
  <c r="Q72" i="1" s="1"/>
  <c r="R72" i="1" s="1"/>
  <c r="S72" i="1" s="1"/>
  <c r="D15" i="1"/>
  <c r="F20" i="5"/>
  <c r="F9" i="5" s="1"/>
  <c r="F10" i="5"/>
  <c r="N65" i="1"/>
  <c r="O42" i="1"/>
  <c r="Q42" i="1"/>
  <c r="R42" i="1"/>
  <c r="S42" i="1"/>
  <c r="S49" i="1"/>
  <c r="S48" i="1" s="1"/>
  <c r="S51" i="1"/>
  <c r="R50" i="1"/>
  <c r="R51" i="1" s="1"/>
  <c r="R43" i="1"/>
  <c r="Q43" i="1"/>
  <c r="O43" i="1"/>
  <c r="P43" i="1"/>
  <c r="P42" i="1" s="1"/>
  <c r="N43" i="1"/>
  <c r="R45" i="1"/>
  <c r="Q45" i="1"/>
  <c r="O45" i="1"/>
  <c r="P45" i="1"/>
  <c r="N45" i="1"/>
  <c r="Q34" i="1"/>
  <c r="R34" i="1"/>
  <c r="F36" i="1"/>
  <c r="G36" i="1"/>
  <c r="H36" i="1"/>
  <c r="I36" i="1"/>
  <c r="J36" i="1"/>
  <c r="K36" i="1"/>
  <c r="L36" i="1"/>
  <c r="M36" i="1"/>
  <c r="E36" i="1"/>
  <c r="F33" i="1"/>
  <c r="F61" i="1" s="1"/>
  <c r="G33" i="1"/>
  <c r="G61" i="1" s="1"/>
  <c r="H33" i="1"/>
  <c r="H61" i="1" s="1"/>
  <c r="I33" i="1"/>
  <c r="I61" i="1" s="1"/>
  <c r="J33" i="1"/>
  <c r="J61" i="1" s="1"/>
  <c r="K33" i="1"/>
  <c r="K61" i="1" s="1"/>
  <c r="L33" i="1"/>
  <c r="L61" i="1" s="1"/>
  <c r="M33" i="1"/>
  <c r="M61" i="1" s="1"/>
  <c r="E33" i="1"/>
  <c r="E61" i="1" s="1"/>
  <c r="F29" i="1"/>
  <c r="F58" i="1" s="1"/>
  <c r="G29" i="1"/>
  <c r="G58" i="1" s="1"/>
  <c r="H29" i="1"/>
  <c r="H58" i="1" s="1"/>
  <c r="I29" i="1"/>
  <c r="I58" i="1" s="1"/>
  <c r="J29" i="1"/>
  <c r="J58" i="1" s="1"/>
  <c r="K29" i="1"/>
  <c r="K58" i="1" s="1"/>
  <c r="L29" i="1"/>
  <c r="L58" i="1" s="1"/>
  <c r="M29" i="1"/>
  <c r="M58" i="1" s="1"/>
  <c r="E29" i="1"/>
  <c r="E58" i="1" s="1"/>
  <c r="R22" i="1"/>
  <c r="R26" i="1" s="1"/>
  <c r="R20" i="1"/>
  <c r="O25" i="1"/>
  <c r="N25" i="1"/>
  <c r="O22" i="1"/>
  <c r="P22" i="1"/>
  <c r="P26" i="1" s="1"/>
  <c r="N22" i="1"/>
  <c r="O19" i="1"/>
  <c r="P19" i="1"/>
  <c r="P30" i="1" s="1"/>
  <c r="P59" i="1" s="1"/>
  <c r="N19" i="1"/>
  <c r="F25" i="1"/>
  <c r="F53" i="1" s="1"/>
  <c r="G25" i="1"/>
  <c r="G53" i="1" s="1"/>
  <c r="H25" i="1"/>
  <c r="H53" i="1" s="1"/>
  <c r="I25" i="1"/>
  <c r="I53" i="1" s="1"/>
  <c r="J25" i="1"/>
  <c r="J53" i="1" s="1"/>
  <c r="K25" i="1"/>
  <c r="K53" i="1" s="1"/>
  <c r="L25" i="1"/>
  <c r="L53" i="1" s="1"/>
  <c r="M25" i="1"/>
  <c r="M53" i="1" s="1"/>
  <c r="E25" i="1"/>
  <c r="E53" i="1" s="1"/>
  <c r="F22" i="1"/>
  <c r="F47" i="1" s="1"/>
  <c r="G22" i="1"/>
  <c r="G47" i="1" s="1"/>
  <c r="H22" i="1"/>
  <c r="H47" i="1" s="1"/>
  <c r="I22" i="1"/>
  <c r="I47" i="1" s="1"/>
  <c r="J22" i="1"/>
  <c r="J47" i="1" s="1"/>
  <c r="K22" i="1"/>
  <c r="K47" i="1" s="1"/>
  <c r="L22" i="1"/>
  <c r="L47" i="1" s="1"/>
  <c r="M22" i="1"/>
  <c r="M47" i="1" s="1"/>
  <c r="E22" i="1"/>
  <c r="H19" i="1"/>
  <c r="I19" i="1"/>
  <c r="J19" i="1"/>
  <c r="K19" i="1"/>
  <c r="L19" i="1"/>
  <c r="M19" i="1"/>
  <c r="G19" i="1"/>
  <c r="F19" i="1"/>
  <c r="E19" i="1"/>
  <c r="R49" i="1" l="1"/>
  <c r="R48" i="1" s="1"/>
  <c r="O38" i="1"/>
  <c r="F16" i="5"/>
  <c r="N72" i="1"/>
  <c r="G20" i="1"/>
  <c r="O26" i="1"/>
  <c r="J20" i="1"/>
  <c r="E23" i="1"/>
  <c r="E48" i="1" s="1"/>
  <c r="E47" i="1"/>
  <c r="K20" i="1"/>
  <c r="E30" i="1"/>
  <c r="E59" i="1" s="1"/>
  <c r="F34" i="1"/>
  <c r="F62" i="1" s="1"/>
  <c r="E37" i="1"/>
  <c r="N26" i="1"/>
  <c r="J30" i="1"/>
  <c r="J59" i="1" s="1"/>
  <c r="L37" i="1"/>
  <c r="G34" i="1"/>
  <c r="G62" i="1" s="1"/>
  <c r="K37" i="1"/>
  <c r="N38" i="1"/>
  <c r="H30" i="1"/>
  <c r="H59" i="1" s="1"/>
  <c r="G30" i="1"/>
  <c r="G59" i="1" s="1"/>
  <c r="J23" i="1"/>
  <c r="J48" i="1" s="1"/>
  <c r="K34" i="1"/>
  <c r="K62" i="1" s="1"/>
  <c r="K23" i="1"/>
  <c r="K48" i="1" s="1"/>
  <c r="I30" i="1"/>
  <c r="I59" i="1" s="1"/>
  <c r="M37" i="1"/>
  <c r="F30" i="1"/>
  <c r="F59" i="1" s="1"/>
  <c r="J37" i="1"/>
  <c r="O23" i="1"/>
  <c r="O50" i="1" s="1"/>
  <c r="I37" i="1"/>
  <c r="F23" i="1"/>
  <c r="F48" i="1" s="1"/>
  <c r="O30" i="1"/>
  <c r="O59" i="1" s="1"/>
  <c r="H37" i="1"/>
  <c r="E34" i="1"/>
  <c r="E62" i="1" s="1"/>
  <c r="G37" i="1"/>
  <c r="M34" i="1"/>
  <c r="M62" i="1" s="1"/>
  <c r="F38" i="1"/>
  <c r="L34" i="1"/>
  <c r="L62" i="1" s="1"/>
  <c r="J34" i="1"/>
  <c r="J62" i="1" s="1"/>
  <c r="I26" i="1"/>
  <c r="I54" i="1" s="1"/>
  <c r="I34" i="1"/>
  <c r="I62" i="1" s="1"/>
  <c r="H20" i="1"/>
  <c r="H26" i="1"/>
  <c r="H54" i="1" s="1"/>
  <c r="M30" i="1"/>
  <c r="M59" i="1" s="1"/>
  <c r="H34" i="1"/>
  <c r="H62" i="1" s="1"/>
  <c r="G26" i="1"/>
  <c r="G54" i="1" s="1"/>
  <c r="L30" i="1"/>
  <c r="L59" i="1" s="1"/>
  <c r="M23" i="1"/>
  <c r="M48" i="1" s="1"/>
  <c r="F26" i="1"/>
  <c r="F54" i="1" s="1"/>
  <c r="K30" i="1"/>
  <c r="K59" i="1" s="1"/>
  <c r="F37" i="1"/>
  <c r="L38" i="1"/>
  <c r="M38" i="1"/>
  <c r="K38" i="1"/>
  <c r="I23" i="1"/>
  <c r="I48" i="1" s="1"/>
  <c r="Q20" i="1"/>
  <c r="J38" i="1"/>
  <c r="H23" i="1"/>
  <c r="H48" i="1" s="1"/>
  <c r="P20" i="1"/>
  <c r="I38" i="1"/>
  <c r="F20" i="1"/>
  <c r="G23" i="1"/>
  <c r="G48" i="1" s="1"/>
  <c r="O20" i="1"/>
  <c r="H38" i="1"/>
  <c r="N20" i="1"/>
  <c r="G38" i="1"/>
  <c r="M20" i="1"/>
  <c r="P34" i="1"/>
  <c r="L23" i="1"/>
  <c r="L48" i="1" s="1"/>
  <c r="E26" i="1"/>
  <c r="E54" i="1" s="1"/>
  <c r="O34" i="1"/>
  <c r="M26" i="1"/>
  <c r="M54" i="1" s="1"/>
  <c r="N34" i="1"/>
  <c r="L26" i="1"/>
  <c r="L54" i="1" s="1"/>
  <c r="P23" i="1"/>
  <c r="P50" i="1" s="1"/>
  <c r="I20" i="1"/>
  <c r="K26" i="1"/>
  <c r="K54" i="1" s="1"/>
  <c r="J26" i="1"/>
  <c r="J54" i="1" s="1"/>
  <c r="N30" i="1"/>
  <c r="N59" i="1" s="1"/>
  <c r="N23" i="1"/>
  <c r="N50" i="1" s="1"/>
  <c r="L20" i="1"/>
  <c r="N51" i="1" l="1"/>
  <c r="N49" i="1"/>
  <c r="O49" i="1"/>
  <c r="O48" i="1" s="1"/>
  <c r="O51" i="1"/>
  <c r="P49" i="1"/>
  <c r="P48" i="1" s="1"/>
  <c r="P51" i="1"/>
  <c r="Q38" i="1"/>
  <c r="R30" i="1"/>
  <c r="Q23" i="1"/>
  <c r="Q30" i="1"/>
  <c r="P38" i="1"/>
  <c r="R38" i="1"/>
  <c r="N42" i="1"/>
  <c r="N41" i="1" s="1"/>
  <c r="N48" i="1"/>
  <c r="Q29" i="1" l="1"/>
  <c r="Q59" i="1"/>
  <c r="R29" i="1"/>
  <c r="R59" i="1"/>
  <c r="Q22" i="1"/>
  <c r="Q26" i="1" s="1"/>
  <c r="F18" i="5" s="1"/>
  <c r="Q50" i="1"/>
  <c r="N61" i="1"/>
  <c r="O41" i="1"/>
  <c r="O65" i="1" s="1"/>
  <c r="N58" i="1"/>
  <c r="N47" i="1"/>
  <c r="F22" i="5" l="1"/>
  <c r="L13" i="1" s="1"/>
  <c r="P13" i="1" s="1"/>
  <c r="O54" i="1"/>
  <c r="P54" i="1"/>
  <c r="R54" i="1"/>
  <c r="N54" i="1"/>
  <c r="Q54" i="1"/>
  <c r="S54" i="1"/>
  <c r="H13" i="1"/>
  <c r="D14" i="1" s="1"/>
  <c r="Q49" i="1"/>
  <c r="Q48" i="1" s="1"/>
  <c r="Q51" i="1"/>
  <c r="O47" i="1"/>
  <c r="O53" i="1" s="1"/>
  <c r="O56" i="1" s="1"/>
  <c r="O61" i="1"/>
  <c r="P41" i="1"/>
  <c r="O58" i="1"/>
  <c r="N53" i="1"/>
  <c r="N56" i="1" s="1"/>
  <c r="N67" i="1" s="1"/>
  <c r="Q41" i="1" l="1"/>
  <c r="Q65" i="1" s="1"/>
  <c r="P65" i="1"/>
  <c r="O67" i="1"/>
  <c r="O68" i="1" s="1"/>
  <c r="N68" i="1"/>
  <c r="P61" i="1"/>
  <c r="Q58" i="1"/>
  <c r="Q61" i="1"/>
  <c r="P47" i="1"/>
  <c r="P58" i="1"/>
  <c r="R41" i="1"/>
  <c r="R65" i="1" s="1"/>
  <c r="Q47" i="1"/>
  <c r="R58" i="1" l="1"/>
  <c r="R61" i="1"/>
  <c r="P53" i="1"/>
  <c r="P56" i="1" s="1"/>
  <c r="Q53" i="1"/>
  <c r="Q56" i="1" s="1"/>
  <c r="S41" i="1"/>
  <c r="S65" i="1" s="1"/>
  <c r="R47" i="1"/>
  <c r="P67" i="1" l="1"/>
  <c r="P68" i="1" s="1"/>
  <c r="Q67" i="1"/>
  <c r="Q68" i="1" s="1"/>
  <c r="S61" i="1"/>
  <c r="S47" i="1"/>
  <c r="S58" i="1"/>
  <c r="R53" i="1"/>
  <c r="R56" i="1" s="1"/>
  <c r="S53" i="1"/>
  <c r="S56" i="1" s="1"/>
  <c r="S67" i="1" l="1"/>
  <c r="R67" i="1"/>
  <c r="R68" i="1" s="1"/>
  <c r="S68" i="1" l="1"/>
  <c r="S74" i="1"/>
  <c r="S75" i="1" s="1"/>
  <c r="S76" i="1" s="1"/>
  <c r="S79" i="1" s="1"/>
  <c r="S81" i="1" s="1"/>
  <c r="G4" i="1" s="1"/>
  <c r="K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夏瑞泽</author>
  </authors>
  <commentList>
    <comment ref="N64" authorId="0" shapeId="0" xr:uid="{6490ABFA-E46E-4589-B95F-89524A7AACC9}">
      <text>
        <r>
          <rPr>
            <b/>
            <sz val="9"/>
            <color indexed="81"/>
            <rFont val="宋体"/>
            <family val="3"/>
            <charset val="134"/>
          </rPr>
          <t xml:space="preserve">Likely Inaccurate Figures, marked red
</t>
        </r>
      </text>
    </comment>
  </commentList>
</comments>
</file>

<file path=xl/sharedStrings.xml><?xml version="1.0" encoding="utf-8"?>
<sst xmlns="http://schemas.openxmlformats.org/spreadsheetml/2006/main" count="275" uniqueCount="181">
  <si>
    <t>HPQ DCF</t>
  </si>
  <si>
    <t>Ticker</t>
  </si>
  <si>
    <t>HPQ</t>
  </si>
  <si>
    <t>Date</t>
  </si>
  <si>
    <t>Assumptions</t>
  </si>
  <si>
    <t>x</t>
  </si>
  <si>
    <t>Income Statement</t>
  </si>
  <si>
    <t>HP Inc. (HPQ)</t>
  </si>
  <si>
    <t>$28.53</t>
  </si>
  <si>
    <t>HP Inc.</t>
  </si>
  <si>
    <t xml:space="preserve">HPQ   40434L105   BYX4D52   NYSE    Common stock    </t>
  </si>
  <si>
    <t>Source: FactSet Fundamentals</t>
  </si>
  <si>
    <t>Restate</t>
  </si>
  <si>
    <t>Sales</t>
  </si>
  <si>
    <t>Cost of Goods Sold (COGS) incl. D&amp;A</t>
  </si>
  <si>
    <t>COGS excluding D&amp;A</t>
  </si>
  <si>
    <t>Depreciation &amp; Amortization Expense</t>
  </si>
  <si>
    <t>Depreciation</t>
  </si>
  <si>
    <t>Amortization of Intangibles</t>
  </si>
  <si>
    <t>Gross Income</t>
  </si>
  <si>
    <t>SG&amp;A Expense</t>
  </si>
  <si>
    <t>Research &amp; Development</t>
  </si>
  <si>
    <t>Other SG&amp;A</t>
  </si>
  <si>
    <t>EBIT (Operating Income)</t>
  </si>
  <si>
    <t>Nonoperating Income - Net</t>
  </si>
  <si>
    <t>Nonoperating Interest Income</t>
  </si>
  <si>
    <t>Other Income (Expense)</t>
  </si>
  <si>
    <t>Interest Expense</t>
  </si>
  <si>
    <t>Gross Interest Expense</t>
  </si>
  <si>
    <t>Unusual Expense - Net</t>
  </si>
  <si>
    <t>Restructuring Expense</t>
  </si>
  <si>
    <t>Legal Claim Expense</t>
  </si>
  <si>
    <t>Unrealized Valuation Gain/Loss</t>
  </si>
  <si>
    <t>Hedges/Derivatives</t>
  </si>
  <si>
    <t>Excpl Chrgs - Others</t>
  </si>
  <si>
    <t>Restructuring of Debt</t>
  </si>
  <si>
    <t>Other Unusual Expense</t>
  </si>
  <si>
    <t>Pretax Income</t>
  </si>
  <si>
    <t>Income Taxes</t>
  </si>
  <si>
    <t>Income Taxes - Current Domestic</t>
  </si>
  <si>
    <t>Income Taxes - Current Foreign</t>
  </si>
  <si>
    <t>Income Taxes - Deferred Domestic</t>
  </si>
  <si>
    <t>Income Taxes - Deferred Foreign</t>
  </si>
  <si>
    <t>Consolidated Net Income</t>
  </si>
  <si>
    <t>Net Income</t>
  </si>
  <si>
    <t>Discontinued Operations</t>
  </si>
  <si>
    <t>Net Income available to Common</t>
  </si>
  <si>
    <t>Per Share</t>
  </si>
  <si>
    <t>EPS (recurring)</t>
  </si>
  <si>
    <t>Basic Shares Outstanding</t>
  </si>
  <si>
    <t>Total Shares Outstanding</t>
  </si>
  <si>
    <t>EPS (diluted)</t>
  </si>
  <si>
    <t>Diluted Shares Outstanding</t>
  </si>
  <si>
    <t>Earnings Persistence</t>
  </si>
  <si>
    <t>Dividends per Share</t>
  </si>
  <si>
    <t>Payout Ratio</t>
  </si>
  <si>
    <t>EBITDA</t>
  </si>
  <si>
    <t>EBIT</t>
  </si>
  <si>
    <t>All figures in millions of U.S. Dollar except per share items.</t>
  </si>
  <si>
    <t>2024E</t>
  </si>
  <si>
    <t>2025E</t>
  </si>
  <si>
    <t>2026E</t>
  </si>
  <si>
    <t>2027E</t>
  </si>
  <si>
    <t>2028E</t>
  </si>
  <si>
    <t>2029E</t>
  </si>
  <si>
    <t>Revenue</t>
  </si>
  <si>
    <t>% Growth</t>
  </si>
  <si>
    <t>% of Sales</t>
  </si>
  <si>
    <t>Taxes</t>
  </si>
  <si>
    <t>% of EBIT</t>
  </si>
  <si>
    <t>Cash Flow Items</t>
  </si>
  <si>
    <t>% of Capex</t>
  </si>
  <si>
    <t>Change in Net Working Capital</t>
  </si>
  <si>
    <t>% of Change in Sales</t>
  </si>
  <si>
    <t>DCF</t>
  </si>
  <si>
    <t>HPQ-USA</t>
  </si>
  <si>
    <t>Income Statement (M)</t>
  </si>
  <si>
    <t>Oct '19</t>
  </si>
  <si>
    <t>Oct '20</t>
  </si>
  <si>
    <t>Oct '21</t>
  </si>
  <si>
    <t>Oct '22</t>
  </si>
  <si>
    <t>Oct '23</t>
  </si>
  <si>
    <t>Oct '24E</t>
  </si>
  <si>
    <t>Oct '25E</t>
  </si>
  <si>
    <t>Oct '26E</t>
  </si>
  <si>
    <t>Oct '27E</t>
  </si>
  <si>
    <t>Oct '28E</t>
  </si>
  <si>
    <t>-</t>
  </si>
  <si>
    <t>Cost of Sales</t>
  </si>
  <si>
    <t>Operating Income</t>
  </si>
  <si>
    <t>Tax Expense</t>
  </si>
  <si>
    <t>Operating Activities</t>
  </si>
  <si>
    <t>Net Income / Starting Line</t>
  </si>
  <si>
    <t>Depreciation, Depletion &amp; Amortization</t>
  </si>
  <si>
    <t>Depreciation and Depletion</t>
  </si>
  <si>
    <t>Amortization of Intangible Assets</t>
  </si>
  <si>
    <t>Deferred Taxes &amp; Investment Tax Credit</t>
  </si>
  <si>
    <t>Deferred Taxes</t>
  </si>
  <si>
    <t>Other Funds</t>
  </si>
  <si>
    <t>Funds from Operations</t>
  </si>
  <si>
    <t>Changes in Working Capital</t>
  </si>
  <si>
    <t>Receivables</t>
  </si>
  <si>
    <t>Inventories</t>
  </si>
  <si>
    <t>Accounts Payable</t>
  </si>
  <si>
    <t>Income Taxes Payable</t>
  </si>
  <si>
    <t>Other Assets/Liabilities</t>
  </si>
  <si>
    <t>Net Operating Cash Flow</t>
  </si>
  <si>
    <t>Investing Activities</t>
  </si>
  <si>
    <t>Capital Expenditures</t>
  </si>
  <si>
    <t>Capital Expenditures (Fixed Assets)</t>
  </si>
  <si>
    <t>Net Assets from Acquisitions</t>
  </si>
  <si>
    <t>Sale of Fixed Assets &amp; Businesses</t>
  </si>
  <si>
    <t>Purchase/Sale of Investments</t>
  </si>
  <si>
    <t>Purchase of Investments</t>
  </si>
  <si>
    <t>Sale/Maturity of Investments</t>
  </si>
  <si>
    <t>Other Uses</t>
  </si>
  <si>
    <t>Other Sources</t>
  </si>
  <si>
    <t>Net Investing Cash Flow</t>
  </si>
  <si>
    <t>Financing Activities</t>
  </si>
  <si>
    <t>Cash Dividends Paid</t>
  </si>
  <si>
    <t>Common Dividends</t>
  </si>
  <si>
    <t>Change in Capital Stock</t>
  </si>
  <si>
    <t>Repurchase of Common &amp; Preferred Stk.</t>
  </si>
  <si>
    <t>Sale of Common &amp; Preferred Stock</t>
  </si>
  <si>
    <t>Proceeds from Stock Options</t>
  </si>
  <si>
    <t>Issuance/Reduction of Debt, Net</t>
  </si>
  <si>
    <t>Change in Current Debt</t>
  </si>
  <si>
    <t>Change in Long-Term Debt</t>
  </si>
  <si>
    <t>Issuance of Long-Term Debt</t>
  </si>
  <si>
    <t>Reduction in Long-Term Debt</t>
  </si>
  <si>
    <t>Net Financing Cash Flow</t>
  </si>
  <si>
    <t>All Activities</t>
  </si>
  <si>
    <t>Net Change in Cash</t>
  </si>
  <si>
    <t>Free Cash Flow</t>
  </si>
  <si>
    <t>Free Cash Flow per Share</t>
  </si>
  <si>
    <t>Free Cash Flow Yield (%)</t>
  </si>
  <si>
    <t>Conservative Case</t>
  </si>
  <si>
    <t>Base</t>
  </si>
  <si>
    <t>Base Case</t>
  </si>
  <si>
    <t>Optimistic Case</t>
  </si>
  <si>
    <t>EBIAT</t>
  </si>
  <si>
    <t>Switches</t>
  </si>
  <si>
    <t>WACC</t>
  </si>
  <si>
    <t>TGR</t>
  </si>
  <si>
    <t>Conservative</t>
  </si>
  <si>
    <t>Optimistic</t>
  </si>
  <si>
    <t>Revenue 2025</t>
  </si>
  <si>
    <t>Revenue 2029</t>
  </si>
  <si>
    <t>EBIT 2025</t>
  </si>
  <si>
    <t>EBIT 2029</t>
  </si>
  <si>
    <t>Unlevered Free Cash Flow</t>
  </si>
  <si>
    <t>Depreciation &amp; Amortization</t>
  </si>
  <si>
    <t>Capital Expenditure</t>
  </si>
  <si>
    <t>Present Value of Free Cash Flow</t>
  </si>
  <si>
    <t>Terminal Value</t>
  </si>
  <si>
    <t>Present Value of Terminal Value</t>
  </si>
  <si>
    <t>Enterprise Value</t>
  </si>
  <si>
    <t>Add: Cash</t>
  </si>
  <si>
    <t>Less: Debt</t>
  </si>
  <si>
    <t>Equity Value</t>
  </si>
  <si>
    <t>Shares</t>
  </si>
  <si>
    <t>Price per Share</t>
  </si>
  <si>
    <t xml:space="preserve">WACC = % of Equity x Cost of Equity + % of Debt x (1-Tax Rate) </t>
  </si>
  <si>
    <t>Cost of Equity = Risk Free Rate + Beta x Market Risk Premium</t>
  </si>
  <si>
    <t>Market Cap</t>
  </si>
  <si>
    <t xml:space="preserve">% of Equity </t>
  </si>
  <si>
    <t>Cost of Equity</t>
  </si>
  <si>
    <t>Risk Free Rate</t>
  </si>
  <si>
    <t>Beta</t>
  </si>
  <si>
    <t>Market Risk Premium</t>
  </si>
  <si>
    <t>Debt</t>
  </si>
  <si>
    <t>% of Debt</t>
  </si>
  <si>
    <t>Cost of Debt</t>
  </si>
  <si>
    <t>Tax Rate</t>
  </si>
  <si>
    <t>Total</t>
  </si>
  <si>
    <t>Days Left in 2024</t>
  </si>
  <si>
    <t>Year</t>
  </si>
  <si>
    <t>Discount Period</t>
  </si>
  <si>
    <t>Implied Price</t>
  </si>
  <si>
    <t>Current Price</t>
  </si>
  <si>
    <t>Implied Upside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</si>
</sst>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0.0%"/>
    <numFmt numFmtId="177" formatCode="#,##0.0"/>
    <numFmt numFmtId="178" formatCode="0.0"/>
    <numFmt numFmtId="179" formatCode="_ * #,##0_ ;_ * \-#,##0_ ;_ * &quot;-&quot;??_ ;_ @_ "/>
  </numFmts>
  <fonts count="17" x14ac:knownFonts="1">
    <font>
      <sz val="11"/>
      <color theme="1"/>
      <name val="等线"/>
      <family val="2"/>
      <charset val="134"/>
      <scheme val="minor"/>
    </font>
    <font>
      <b/>
      <sz val="15"/>
      <color theme="1"/>
      <name val="等线"/>
      <family val="2"/>
      <scheme val="minor"/>
    </font>
    <font>
      <b/>
      <sz val="10"/>
      <color theme="1"/>
      <name val="Arial"/>
      <family val="2"/>
    </font>
    <font>
      <b/>
      <sz val="10"/>
      <color rgb="FF003366"/>
      <name val="Arial"/>
      <family val="2"/>
    </font>
    <font>
      <sz val="10"/>
      <color rgb="FFFF0000"/>
      <name val="Arial"/>
      <family val="2"/>
    </font>
    <font>
      <sz val="10"/>
      <color rgb="FF646464"/>
      <name val="Arial"/>
      <family val="2"/>
    </font>
    <font>
      <b/>
      <sz val="11"/>
      <color theme="0"/>
      <name val="等线"/>
      <family val="2"/>
      <scheme val="minor"/>
    </font>
    <font>
      <sz val="10"/>
      <color theme="1"/>
      <name val="Arial"/>
      <family val="2"/>
    </font>
    <font>
      <b/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u/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11"/>
      <color theme="0"/>
      <name val="等线"/>
      <family val="2"/>
      <scheme val="minor"/>
    </font>
    <font>
      <b/>
      <sz val="9"/>
      <color indexed="81"/>
      <name val="宋体"/>
      <family val="3"/>
      <charset val="134"/>
    </font>
    <font>
      <sz val="9"/>
      <name val="等线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8C8C8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3" borderId="0" xfId="0" applyFont="1" applyFill="1" applyAlignment="1">
      <alignment horizontal="left" indent="3"/>
    </xf>
    <xf numFmtId="3" fontId="3" fillId="3" borderId="0" xfId="0" applyNumberFormat="1" applyFont="1" applyFill="1" applyAlignment="1">
      <alignment horizontal="right"/>
    </xf>
    <xf numFmtId="0" fontId="0" fillId="0" borderId="0" xfId="0" applyAlignment="1">
      <alignment horizontal="left" indent="4"/>
    </xf>
    <xf numFmtId="3" fontId="0" fillId="0" borderId="0" xfId="0" applyNumberFormat="1" applyAlignment="1">
      <alignment horizontal="right"/>
    </xf>
    <xf numFmtId="0" fontId="3" fillId="3" borderId="0" xfId="0" applyFont="1" applyFill="1" applyAlignment="1">
      <alignment horizontal="left" indent="6"/>
    </xf>
    <xf numFmtId="0" fontId="0" fillId="0" borderId="0" xfId="0" applyAlignment="1">
      <alignment horizontal="left" indent="7"/>
    </xf>
    <xf numFmtId="0" fontId="0" fillId="3" borderId="0" xfId="0" applyFill="1" applyAlignment="1">
      <alignment horizontal="left" indent="7"/>
    </xf>
    <xf numFmtId="3" fontId="0" fillId="3" borderId="0" xfId="0" applyNumberFormat="1" applyFill="1" applyAlignment="1">
      <alignment horizontal="right"/>
    </xf>
    <xf numFmtId="0" fontId="0" fillId="3" borderId="0" xfId="0" applyFill="1" applyAlignment="1">
      <alignment horizontal="left" indent="4"/>
    </xf>
    <xf numFmtId="3" fontId="4" fillId="3" borderId="0" xfId="0" applyNumberFormat="1" applyFont="1" applyFill="1" applyAlignment="1">
      <alignment horizontal="right"/>
    </xf>
    <xf numFmtId="0" fontId="3" fillId="0" borderId="0" xfId="0" applyFont="1" applyAlignment="1">
      <alignment horizontal="left" indent="3"/>
    </xf>
    <xf numFmtId="0" fontId="0" fillId="0" borderId="0" xfId="0" applyAlignment="1">
      <alignment horizontal="left"/>
    </xf>
    <xf numFmtId="3" fontId="4" fillId="0" borderId="0" xfId="0" applyNumberFormat="1" applyFont="1" applyAlignment="1">
      <alignment horizontal="right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Alignment="1">
      <alignment horizontal="left" indent="1"/>
    </xf>
    <xf numFmtId="0" fontId="0" fillId="3" borderId="0" xfId="0" applyFill="1" applyAlignment="1">
      <alignment horizontal="left" indent="1"/>
    </xf>
    <xf numFmtId="4" fontId="3" fillId="3" borderId="0" xfId="0" applyNumberFormat="1" applyFont="1" applyFill="1" applyAlignment="1">
      <alignment horizontal="right"/>
    </xf>
    <xf numFmtId="4" fontId="0" fillId="0" borderId="0" xfId="0" applyNumberFormat="1" applyAlignment="1">
      <alignment horizontal="right"/>
    </xf>
    <xf numFmtId="4" fontId="0" fillId="3" borderId="0" xfId="0" applyNumberFormat="1" applyFill="1" applyAlignment="1">
      <alignment horizontal="right"/>
    </xf>
    <xf numFmtId="4" fontId="3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6" fillId="4" borderId="0" xfId="0" applyFont="1" applyFill="1"/>
    <xf numFmtId="0" fontId="6" fillId="4" borderId="0" xfId="0" applyFont="1" applyFill="1" applyAlignment="1">
      <alignment horizontal="right"/>
    </xf>
    <xf numFmtId="3" fontId="0" fillId="0" borderId="0" xfId="0" applyNumberFormat="1"/>
    <xf numFmtId="10" fontId="0" fillId="0" borderId="0" xfId="0" applyNumberFormat="1"/>
    <xf numFmtId="0" fontId="7" fillId="0" borderId="0" xfId="1"/>
    <xf numFmtId="0" fontId="2" fillId="0" borderId="0" xfId="1" applyFont="1"/>
    <xf numFmtId="0" fontId="2" fillId="2" borderId="0" xfId="1" applyFont="1" applyFill="1" applyAlignment="1">
      <alignment horizontal="left"/>
    </xf>
    <xf numFmtId="0" fontId="7" fillId="3" borderId="0" xfId="1" applyFill="1" applyAlignment="1">
      <alignment horizontal="left"/>
    </xf>
    <xf numFmtId="3" fontId="7" fillId="3" borderId="0" xfId="1" applyNumberFormat="1" applyFill="1" applyAlignment="1">
      <alignment horizontal="right"/>
    </xf>
    <xf numFmtId="0" fontId="7" fillId="0" borderId="0" xfId="1" applyAlignment="1">
      <alignment horizontal="left"/>
    </xf>
    <xf numFmtId="3" fontId="7" fillId="0" borderId="0" xfId="1" applyNumberFormat="1" applyAlignment="1">
      <alignment horizontal="right"/>
    </xf>
    <xf numFmtId="3" fontId="4" fillId="3" borderId="0" xfId="1" applyNumberFormat="1" applyFont="1" applyFill="1" applyAlignment="1">
      <alignment horizontal="right"/>
    </xf>
    <xf numFmtId="1" fontId="0" fillId="0" borderId="0" xfId="0" applyNumberFormat="1"/>
    <xf numFmtId="0" fontId="8" fillId="0" borderId="0" xfId="0" applyFont="1"/>
    <xf numFmtId="0" fontId="3" fillId="0" borderId="0" xfId="1" applyFont="1" applyAlignment="1">
      <alignment horizontal="left"/>
    </xf>
    <xf numFmtId="0" fontId="7" fillId="0" borderId="0" xfId="1" applyAlignment="1">
      <alignment horizontal="left" indent="1"/>
    </xf>
    <xf numFmtId="0" fontId="7" fillId="3" borderId="0" xfId="1" applyFill="1" applyAlignment="1">
      <alignment horizontal="left" indent="1"/>
    </xf>
    <xf numFmtId="0" fontId="3" fillId="0" borderId="0" xfId="1" applyFont="1" applyAlignment="1">
      <alignment horizontal="left" indent="3"/>
    </xf>
    <xf numFmtId="3" fontId="3" fillId="0" borderId="0" xfId="1" applyNumberFormat="1" applyFont="1" applyAlignment="1">
      <alignment horizontal="right"/>
    </xf>
    <xf numFmtId="0" fontId="7" fillId="0" borderId="0" xfId="1" applyAlignment="1">
      <alignment horizontal="left" indent="4"/>
    </xf>
    <xf numFmtId="0" fontId="7" fillId="3" borderId="0" xfId="1" applyFill="1" applyAlignment="1">
      <alignment horizontal="left" indent="4"/>
    </xf>
    <xf numFmtId="0" fontId="3" fillId="3" borderId="0" xfId="1" applyFont="1" applyFill="1" applyAlignment="1">
      <alignment horizontal="left" indent="3"/>
    </xf>
    <xf numFmtId="3" fontId="3" fillId="3" borderId="0" xfId="1" applyNumberFormat="1" applyFont="1" applyFill="1" applyAlignment="1">
      <alignment horizontal="right"/>
    </xf>
    <xf numFmtId="3" fontId="4" fillId="0" borderId="0" xfId="1" applyNumberFormat="1" applyFont="1" applyAlignment="1">
      <alignment horizontal="right"/>
    </xf>
    <xf numFmtId="177" fontId="3" fillId="3" borderId="0" xfId="1" applyNumberFormat="1" applyFont="1" applyFill="1" applyAlignment="1">
      <alignment horizontal="right"/>
    </xf>
    <xf numFmtId="177" fontId="4" fillId="0" borderId="0" xfId="1" applyNumberFormat="1" applyFont="1" applyAlignment="1">
      <alignment horizontal="right"/>
    </xf>
    <xf numFmtId="177" fontId="4" fillId="3" borderId="0" xfId="1" applyNumberFormat="1" applyFont="1" applyFill="1" applyAlignment="1">
      <alignment horizontal="right"/>
    </xf>
    <xf numFmtId="177" fontId="7" fillId="3" borderId="0" xfId="1" applyNumberFormat="1" applyFill="1" applyAlignment="1">
      <alignment horizontal="right"/>
    </xf>
    <xf numFmtId="177" fontId="7" fillId="0" borderId="0" xfId="1" applyNumberFormat="1" applyAlignment="1">
      <alignment horizontal="right"/>
    </xf>
    <xf numFmtId="177" fontId="3" fillId="0" borderId="0" xfId="1" applyNumberFormat="1" applyFont="1" applyAlignment="1">
      <alignment horizontal="right"/>
    </xf>
    <xf numFmtId="0" fontId="3" fillId="3" borderId="0" xfId="1" applyFont="1" applyFill="1" applyAlignment="1">
      <alignment horizontal="left" indent="6"/>
    </xf>
    <xf numFmtId="0" fontId="7" fillId="0" borderId="0" xfId="1" applyAlignment="1">
      <alignment horizontal="left" indent="7"/>
    </xf>
    <xf numFmtId="0" fontId="7" fillId="3" borderId="0" xfId="1" applyFill="1" applyAlignment="1">
      <alignment horizontal="left" indent="7"/>
    </xf>
    <xf numFmtId="4" fontId="7" fillId="0" borderId="0" xfId="1" applyNumberFormat="1" applyAlignment="1">
      <alignment horizontal="right"/>
    </xf>
    <xf numFmtId="0" fontId="5" fillId="0" borderId="0" xfId="1" applyFont="1" applyAlignment="1">
      <alignment horizontal="left"/>
    </xf>
    <xf numFmtId="0" fontId="7" fillId="0" borderId="2" xfId="1" applyBorder="1"/>
    <xf numFmtId="0" fontId="7" fillId="0" borderId="1" xfId="1" applyBorder="1"/>
    <xf numFmtId="0" fontId="9" fillId="0" borderId="0" xfId="0" applyFont="1"/>
    <xf numFmtId="0" fontId="0" fillId="0" borderId="3" xfId="0" applyBorder="1"/>
    <xf numFmtId="0" fontId="6" fillId="4" borderId="3" xfId="0" applyFont="1" applyFill="1" applyBorder="1"/>
    <xf numFmtId="0" fontId="6" fillId="4" borderId="3" xfId="0" applyFont="1" applyFill="1" applyBorder="1" applyAlignment="1">
      <alignment horizontal="right"/>
    </xf>
    <xf numFmtId="3" fontId="0" fillId="0" borderId="3" xfId="0" applyNumberFormat="1" applyBorder="1"/>
    <xf numFmtId="10" fontId="0" fillId="0" borderId="3" xfId="0" applyNumberFormat="1" applyBorder="1"/>
    <xf numFmtId="0" fontId="0" fillId="5" borderId="4" xfId="0" applyFill="1" applyBorder="1"/>
    <xf numFmtId="0" fontId="10" fillId="0" borderId="0" xfId="0" applyFont="1"/>
    <xf numFmtId="0" fontId="10" fillId="0" borderId="3" xfId="0" applyFont="1" applyBorder="1"/>
    <xf numFmtId="10" fontId="0" fillId="5" borderId="4" xfId="0" applyNumberFormat="1" applyFill="1" applyBorder="1"/>
    <xf numFmtId="9" fontId="0" fillId="5" borderId="4" xfId="0" applyNumberFormat="1" applyFill="1" applyBorder="1"/>
    <xf numFmtId="176" fontId="0" fillId="5" borderId="4" xfId="0" applyNumberFormat="1" applyFill="1" applyBorder="1"/>
    <xf numFmtId="0" fontId="8" fillId="0" borderId="5" xfId="0" applyFont="1" applyBorder="1"/>
    <xf numFmtId="0" fontId="0" fillId="0" borderId="6" xfId="0" applyBorder="1"/>
    <xf numFmtId="10" fontId="0" fillId="0" borderId="8" xfId="0" applyNumberFormat="1" applyBorder="1"/>
    <xf numFmtId="1" fontId="0" fillId="0" borderId="3" xfId="0" applyNumberFormat="1" applyBorder="1"/>
    <xf numFmtId="1" fontId="0" fillId="0" borderId="5" xfId="0" applyNumberFormat="1" applyBorder="1"/>
    <xf numFmtId="1" fontId="0" fillId="0" borderId="6" xfId="0" applyNumberFormat="1" applyBorder="1"/>
    <xf numFmtId="1" fontId="0" fillId="0" borderId="7" xfId="0" applyNumberFormat="1" applyBorder="1"/>
    <xf numFmtId="176" fontId="0" fillId="0" borderId="0" xfId="0" applyNumberFormat="1"/>
    <xf numFmtId="0" fontId="6" fillId="6" borderId="9" xfId="0" applyFont="1" applyFill="1" applyBorder="1"/>
    <xf numFmtId="0" fontId="14" fillId="6" borderId="10" xfId="0" applyFont="1" applyFill="1" applyBorder="1"/>
    <xf numFmtId="0" fontId="14" fillId="6" borderId="11" xfId="0" applyFont="1" applyFill="1" applyBorder="1"/>
    <xf numFmtId="0" fontId="0" fillId="0" borderId="12" xfId="0" applyBorder="1"/>
    <xf numFmtId="178" fontId="0" fillId="0" borderId="13" xfId="0" applyNumberFormat="1" applyBorder="1"/>
    <xf numFmtId="10" fontId="0" fillId="0" borderId="13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0" fontId="0" fillId="0" borderId="16" xfId="0" applyNumberFormat="1" applyBorder="1"/>
    <xf numFmtId="2" fontId="0" fillId="0" borderId="3" xfId="0" applyNumberFormat="1" applyBorder="1"/>
    <xf numFmtId="43" fontId="0" fillId="0" borderId="0" xfId="2" applyFont="1" applyBorder="1"/>
    <xf numFmtId="14" fontId="13" fillId="0" borderId="0" xfId="0" applyNumberFormat="1" applyFont="1"/>
    <xf numFmtId="9" fontId="0" fillId="0" borderId="3" xfId="2" applyNumberFormat="1" applyFont="1" applyBorder="1"/>
    <xf numFmtId="43" fontId="0" fillId="0" borderId="0" xfId="0" applyNumberFormat="1"/>
    <xf numFmtId="1" fontId="0" fillId="0" borderId="17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179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2" fillId="5" borderId="4" xfId="0" applyFont="1" applyFill="1" applyBorder="1"/>
    <xf numFmtId="1" fontId="12" fillId="5" borderId="4" xfId="0" applyNumberFormat="1" applyFont="1" applyFill="1" applyBorder="1"/>
    <xf numFmtId="10" fontId="12" fillId="5" borderId="4" xfId="0" applyNumberFormat="1" applyFont="1" applyFill="1" applyBorder="1"/>
  </cellXfs>
  <cellStyles count="3">
    <cellStyle name="Comma" xfId="2" builtinId="3"/>
    <cellStyle name="Normal" xfId="0" builtinId="0"/>
    <cellStyle name="常规 2" xfId="1" xr:uid="{E9024E32-F57A-4C9D-87DF-58F6723B6E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A46E8-30BB-491A-90D6-E8C0A681C7FC}">
  <dimension ref="A2:S81"/>
  <sheetViews>
    <sheetView showGridLines="0" tabSelected="1" zoomScale="85" zoomScaleNormal="85" workbookViewId="0">
      <selection activeCell="U66" sqref="U66"/>
    </sheetView>
  </sheetViews>
  <sheetFormatPr defaultRowHeight="14" x14ac:dyDescent="0.3"/>
  <cols>
    <col min="1" max="1" width="2.58203125" customWidth="1"/>
    <col min="3" max="3" width="10.75" bestFit="1" customWidth="1"/>
    <col min="6" max="6" width="9.6640625" customWidth="1"/>
    <col min="8" max="8" width="9.08203125" customWidth="1"/>
    <col min="10" max="10" width="9.1640625" customWidth="1"/>
    <col min="14" max="14" width="10.1640625" style="68" customWidth="1"/>
    <col min="16" max="16" width="9.08203125" customWidth="1"/>
    <col min="19" max="19" width="9.08203125" customWidth="1"/>
  </cols>
  <sheetData>
    <row r="2" spans="1:19" ht="19" x14ac:dyDescent="0.4">
      <c r="B2" s="1" t="s">
        <v>0</v>
      </c>
    </row>
    <row r="4" spans="1:19" x14ac:dyDescent="0.3">
      <c r="B4" t="s">
        <v>1</v>
      </c>
      <c r="C4" s="107" t="s">
        <v>2</v>
      </c>
      <c r="E4" t="s">
        <v>178</v>
      </c>
      <c r="G4" s="101">
        <f ca="1">S81</f>
        <v>59.008758514329195</v>
      </c>
      <c r="I4" t="s">
        <v>180</v>
      </c>
      <c r="K4" s="86">
        <f ca="1">G4/G5-1</f>
        <v>1.0683055911086292</v>
      </c>
    </row>
    <row r="5" spans="1:19" x14ac:dyDescent="0.3">
      <c r="B5" t="s">
        <v>3</v>
      </c>
      <c r="C5" s="106">
        <v>45397</v>
      </c>
      <c r="E5" t="s">
        <v>179</v>
      </c>
      <c r="G5">
        <v>28.53</v>
      </c>
    </row>
    <row r="6" spans="1:19" x14ac:dyDescent="0.3">
      <c r="C6" s="99">
        <v>45657</v>
      </c>
    </row>
    <row r="7" spans="1:19" x14ac:dyDescent="0.3">
      <c r="A7" t="s">
        <v>5</v>
      </c>
      <c r="B7" s="30" t="s">
        <v>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69"/>
      <c r="O7" s="30"/>
      <c r="P7" s="30"/>
      <c r="Q7" s="30"/>
      <c r="R7" s="30"/>
      <c r="S7" s="30"/>
    </row>
    <row r="8" spans="1:19" x14ac:dyDescent="0.3">
      <c r="B8" s="74" t="s">
        <v>141</v>
      </c>
      <c r="F8" s="74" t="s">
        <v>144</v>
      </c>
      <c r="J8" s="74" t="s">
        <v>137</v>
      </c>
      <c r="N8" s="75" t="s">
        <v>145</v>
      </c>
    </row>
    <row r="9" spans="1:19" x14ac:dyDescent="0.3">
      <c r="B9" t="s">
        <v>65</v>
      </c>
      <c r="D9" s="73">
        <v>1</v>
      </c>
      <c r="F9" t="s">
        <v>146</v>
      </c>
      <c r="H9" s="78">
        <v>0.9</v>
      </c>
      <c r="N9" s="68" t="s">
        <v>146</v>
      </c>
      <c r="P9" s="77">
        <v>1.1000000000000001</v>
      </c>
    </row>
    <row r="10" spans="1:19" x14ac:dyDescent="0.3">
      <c r="B10" t="s">
        <v>57</v>
      </c>
      <c r="D10" s="73">
        <v>1</v>
      </c>
      <c r="F10" t="s">
        <v>147</v>
      </c>
      <c r="H10" s="77">
        <v>0.01</v>
      </c>
      <c r="J10" t="s">
        <v>147</v>
      </c>
      <c r="L10" s="77">
        <v>0.02</v>
      </c>
      <c r="N10" s="68" t="s">
        <v>147</v>
      </c>
      <c r="P10" s="77">
        <v>0.03</v>
      </c>
    </row>
    <row r="11" spans="1:19" x14ac:dyDescent="0.3">
      <c r="B11" t="s">
        <v>142</v>
      </c>
      <c r="D11" s="73">
        <v>1</v>
      </c>
      <c r="F11" t="s">
        <v>148</v>
      </c>
      <c r="H11" s="78">
        <v>0.95</v>
      </c>
      <c r="N11" s="68" t="s">
        <v>148</v>
      </c>
      <c r="P11" s="77">
        <v>1.05</v>
      </c>
    </row>
    <row r="12" spans="1:19" x14ac:dyDescent="0.3">
      <c r="B12" t="s">
        <v>143</v>
      </c>
      <c r="D12" s="73">
        <v>1</v>
      </c>
      <c r="F12" t="s">
        <v>149</v>
      </c>
      <c r="H12" s="76">
        <v>7.5999999999999998E-2</v>
      </c>
      <c r="J12" t="s">
        <v>149</v>
      </c>
      <c r="L12" s="76">
        <v>0.08</v>
      </c>
      <c r="N12" s="68" t="s">
        <v>149</v>
      </c>
      <c r="P12" s="76">
        <v>8.4000000000000005E-2</v>
      </c>
    </row>
    <row r="13" spans="1:19" x14ac:dyDescent="0.3">
      <c r="F13" t="s">
        <v>142</v>
      </c>
      <c r="H13" s="76">
        <f>L13-0.5%</f>
        <v>7.9812712173136388E-2</v>
      </c>
      <c r="J13" t="s">
        <v>142</v>
      </c>
      <c r="L13" s="76">
        <f>WACC!F22</f>
        <v>8.4812712173136393E-2</v>
      </c>
      <c r="N13" s="68" t="s">
        <v>142</v>
      </c>
      <c r="P13" s="76">
        <f>L13+0.5%</f>
        <v>8.9812712173136397E-2</v>
      </c>
    </row>
    <row r="14" spans="1:19" x14ac:dyDescent="0.3">
      <c r="B14" t="s">
        <v>142</v>
      </c>
      <c r="D14" s="76">
        <f>CHOOSE(D11,H13,L13,P13)</f>
        <v>7.9812712173136388E-2</v>
      </c>
      <c r="F14" t="s">
        <v>143</v>
      </c>
      <c r="H14" s="76">
        <v>0.02</v>
      </c>
      <c r="J14" t="s">
        <v>143</v>
      </c>
      <c r="L14" s="76">
        <v>2.5000000000000001E-2</v>
      </c>
      <c r="N14" s="68" t="s">
        <v>143</v>
      </c>
      <c r="P14" s="76">
        <v>0.03</v>
      </c>
    </row>
    <row r="15" spans="1:19" x14ac:dyDescent="0.3">
      <c r="B15" t="s">
        <v>143</v>
      </c>
      <c r="D15" s="76">
        <f>CHOOSE(D12,H14,L14,P14)</f>
        <v>0.02</v>
      </c>
    </row>
    <row r="18" spans="1:19" x14ac:dyDescent="0.3">
      <c r="A18" t="s">
        <v>5</v>
      </c>
      <c r="B18" s="30" t="s">
        <v>6</v>
      </c>
      <c r="C18" s="30"/>
      <c r="D18" s="30"/>
      <c r="E18" s="30">
        <v>2015</v>
      </c>
      <c r="F18" s="30">
        <v>2016</v>
      </c>
      <c r="G18" s="30">
        <v>2017</v>
      </c>
      <c r="H18" s="30">
        <v>2018</v>
      </c>
      <c r="I18" s="30">
        <v>2019</v>
      </c>
      <c r="J18" s="30">
        <v>2020</v>
      </c>
      <c r="K18" s="30">
        <v>2021</v>
      </c>
      <c r="L18" s="30">
        <v>2022</v>
      </c>
      <c r="M18" s="30">
        <v>2023</v>
      </c>
      <c r="N18" s="70" t="s">
        <v>59</v>
      </c>
      <c r="O18" s="31" t="s">
        <v>60</v>
      </c>
      <c r="P18" s="31" t="s">
        <v>61</v>
      </c>
      <c r="Q18" s="31" t="s">
        <v>62</v>
      </c>
      <c r="R18" s="31" t="s">
        <v>63</v>
      </c>
      <c r="S18" s="31" t="s">
        <v>64</v>
      </c>
    </row>
    <row r="19" spans="1:19" x14ac:dyDescent="0.3">
      <c r="B19" s="43" t="s">
        <v>65</v>
      </c>
      <c r="E19" s="32">
        <f>'IS Reference'!J11</f>
        <v>50468</v>
      </c>
      <c r="F19" s="32">
        <f>'IS Reference'!I11</f>
        <v>48218</v>
      </c>
      <c r="G19" s="32">
        <f>HLOOKUP(G18,'IS Reference'!$B$8:$K$35,4,0)</f>
        <v>52212</v>
      </c>
      <c r="H19" s="32">
        <f>HLOOKUP(H18,'IS Reference'!$B$8:$K$35,4,0)</f>
        <v>58131</v>
      </c>
      <c r="I19" s="32">
        <f>HLOOKUP(I18,'IS Reference'!$B$8:$K$35,4,0)</f>
        <v>58331</v>
      </c>
      <c r="J19" s="32">
        <f>HLOOKUP(J18,'IS Reference'!$B$8:$K$35,4,0)</f>
        <v>56531</v>
      </c>
      <c r="K19" s="32">
        <f>HLOOKUP(K18,'IS Reference'!$B$8:$K$35,4,0)</f>
        <v>63246</v>
      </c>
      <c r="L19" s="32">
        <f>HLOOKUP(L18,'IS Reference'!$B$8:$K$35,4,0)</f>
        <v>62033</v>
      </c>
      <c r="M19" s="32">
        <f>HLOOKUP(M18,'IS Reference'!$B$8:$K$35,4,0)</f>
        <v>53475</v>
      </c>
      <c r="N19" s="71">
        <f>Sheet3!G4</f>
        <v>53664.800000000003</v>
      </c>
      <c r="O19" s="32">
        <f>Sheet3!H4</f>
        <v>55617.9</v>
      </c>
      <c r="P19" s="32">
        <f>Sheet3!I4</f>
        <v>57317.2</v>
      </c>
      <c r="Q19" s="32">
        <v>56077</v>
      </c>
      <c r="R19" s="32">
        <v>56991</v>
      </c>
    </row>
    <row r="20" spans="1:19" x14ac:dyDescent="0.3">
      <c r="B20" s="67" t="s">
        <v>66</v>
      </c>
      <c r="F20" s="33">
        <f>(F19-E19)/E19</f>
        <v>-4.4582705873028455E-2</v>
      </c>
      <c r="G20" s="33">
        <f t="shared" ref="G20:M20" si="0">(G19-F19)/F19</f>
        <v>8.2832137376083623E-2</v>
      </c>
      <c r="H20" s="33">
        <f t="shared" si="0"/>
        <v>0.11336474373707194</v>
      </c>
      <c r="I20" s="33">
        <f t="shared" si="0"/>
        <v>3.4405050661437098E-3</v>
      </c>
      <c r="J20" s="33">
        <f t="shared" si="0"/>
        <v>-3.0858377192230547E-2</v>
      </c>
      <c r="K20" s="33">
        <f t="shared" si="0"/>
        <v>0.11878438378942527</v>
      </c>
      <c r="L20" s="33">
        <f t="shared" si="0"/>
        <v>-1.9179078518799606E-2</v>
      </c>
      <c r="M20" s="33">
        <f t="shared" si="0"/>
        <v>-0.13795882836554738</v>
      </c>
      <c r="N20" s="72">
        <f t="shared" ref="N20" si="1">(N19-M19)/M19</f>
        <v>3.5493221131370342E-3</v>
      </c>
      <c r="O20" s="33">
        <f t="shared" ref="O20" si="2">(O19-N19)/N19</f>
        <v>3.6394433595205763E-2</v>
      </c>
      <c r="P20" s="33">
        <f t="shared" ref="P20" si="3">(P19-O19)/O19</f>
        <v>3.0553113296258858E-2</v>
      </c>
      <c r="Q20" s="33">
        <f t="shared" ref="Q20" si="4">(Q19-P19)/P19</f>
        <v>-2.1637484036205488E-2</v>
      </c>
      <c r="R20" s="33">
        <f t="shared" ref="R20" si="5">(R19-Q19)/Q19</f>
        <v>1.629901742247267E-2</v>
      </c>
    </row>
    <row r="22" spans="1:19" x14ac:dyDescent="0.3">
      <c r="B22" s="43" t="s">
        <v>57</v>
      </c>
      <c r="E22">
        <f>HLOOKUP(E18,'IS Reference'!$B$8:$K$41,14,0)</f>
        <v>3141</v>
      </c>
      <c r="F22">
        <f>HLOOKUP(F18,'IS Reference'!$B$8:$K$41,14,0)</f>
        <v>3423</v>
      </c>
      <c r="G22">
        <f>HLOOKUP(G18,'IS Reference'!$B$8:$K$41,14,0)</f>
        <v>4196</v>
      </c>
      <c r="H22">
        <f>HLOOKUP(H18,'IS Reference'!$B$8:$K$41,14,0)</f>
        <v>3764</v>
      </c>
      <c r="I22">
        <f>HLOOKUP(I18,'IS Reference'!$B$8:$K$41,14,0)</f>
        <v>3807</v>
      </c>
      <c r="J22">
        <f>HLOOKUP(J18,'IS Reference'!$B$8:$K$41,14,0)</f>
        <v>3855</v>
      </c>
      <c r="K22">
        <f>HLOOKUP(K18,'IS Reference'!$B$8:$K$41,14,0)</f>
        <v>5493</v>
      </c>
      <c r="L22">
        <f>HLOOKUP(L18,'IS Reference'!$B$8:$K$41,14,0)</f>
        <v>4343</v>
      </c>
      <c r="M22">
        <f>HLOOKUP(M18,'IS Reference'!$B$8:$K$41,14,0)</f>
        <v>4151</v>
      </c>
      <c r="N22" s="71">
        <f>Sheet3!G8</f>
        <v>4598.3100000000004</v>
      </c>
      <c r="O22" s="32">
        <f>Sheet3!H8</f>
        <v>4683.96</v>
      </c>
      <c r="P22" s="32">
        <f>Sheet3!I8</f>
        <v>4753.3900000000003</v>
      </c>
      <c r="Q22" s="32">
        <f>Q19*Q23</f>
        <v>4491.4315799981459</v>
      </c>
      <c r="R22" s="32">
        <f>R19*R23</f>
        <v>4564.9791000000005</v>
      </c>
    </row>
    <row r="23" spans="1:19" x14ac:dyDescent="0.3">
      <c r="B23" t="s">
        <v>67</v>
      </c>
      <c r="E23" s="33">
        <f>E22/E19</f>
        <v>6.2237457398747718E-2</v>
      </c>
      <c r="F23" s="33">
        <f t="shared" ref="F23:M23" si="6">F22/F19</f>
        <v>7.0990086689617982E-2</v>
      </c>
      <c r="G23" s="33">
        <f t="shared" si="6"/>
        <v>8.0364667126331113E-2</v>
      </c>
      <c r="H23" s="33">
        <f t="shared" si="6"/>
        <v>6.4750305344824621E-2</v>
      </c>
      <c r="I23" s="33">
        <f t="shared" si="6"/>
        <v>6.5265467761567608E-2</v>
      </c>
      <c r="J23" s="33">
        <f t="shared" si="6"/>
        <v>6.8192673046646973E-2</v>
      </c>
      <c r="K23" s="33">
        <f t="shared" si="6"/>
        <v>8.6851342377383553E-2</v>
      </c>
      <c r="L23" s="33">
        <f t="shared" si="6"/>
        <v>7.001112311189206E-2</v>
      </c>
      <c r="M23" s="33">
        <f t="shared" si="6"/>
        <v>7.7625058438522673E-2</v>
      </c>
      <c r="N23" s="72">
        <f t="shared" ref="N23" si="7">N22/N19</f>
        <v>8.5685775405852635E-2</v>
      </c>
      <c r="O23" s="33">
        <f t="shared" ref="O23" si="8">O22/O19</f>
        <v>8.4216771938530582E-2</v>
      </c>
      <c r="P23" s="33">
        <f t="shared" ref="P23" si="9">P22/P19</f>
        <v>8.2931301598822005E-2</v>
      </c>
      <c r="Q23" s="33">
        <f>AVERAGE(L23:P23)</f>
        <v>8.0094006098723997E-2</v>
      </c>
      <c r="R23" s="33">
        <v>8.0100000000000005E-2</v>
      </c>
    </row>
    <row r="25" spans="1:19" x14ac:dyDescent="0.3">
      <c r="B25" s="43" t="s">
        <v>68</v>
      </c>
      <c r="E25">
        <f>HLOOKUP(E18,'IS Reference'!$B$8:$K$41,29,0)</f>
        <v>-186</v>
      </c>
      <c r="F25">
        <f>HLOOKUP(F18,'IS Reference'!$B$8:$K$41,29,0)</f>
        <v>1095</v>
      </c>
      <c r="G25">
        <f>HLOOKUP(G18,'IS Reference'!$B$8:$K$41,29,0)</f>
        <v>750</v>
      </c>
      <c r="H25">
        <f>HLOOKUP(H18,'IS Reference'!$B$8:$K$41,29,0)</f>
        <v>-2314</v>
      </c>
      <c r="I25">
        <f>HLOOKUP(I18,'IS Reference'!$B$8:$K$41,29,0)</f>
        <v>-629</v>
      </c>
      <c r="J25">
        <f>HLOOKUP(J18,'IS Reference'!$B$8:$K$41,29,0)</f>
        <v>387</v>
      </c>
      <c r="K25">
        <f>HLOOKUP(K18,'IS Reference'!$B$8:$K$41,29,0)</f>
        <v>1027</v>
      </c>
      <c r="L25">
        <f>HLOOKUP(L18,'IS Reference'!$B$8:$K$41,29,0)</f>
        <v>1192</v>
      </c>
      <c r="M25">
        <f>HLOOKUP(M18,'IS Reference'!$B$8:$K$41,29,0)</f>
        <v>-326</v>
      </c>
      <c r="N25" s="71">
        <f>Sheet3!G10</f>
        <v>642.93299999999999</v>
      </c>
      <c r="O25" s="32">
        <f>Sheet3!H10</f>
        <v>665.52499999999998</v>
      </c>
      <c r="P25">
        <v>658</v>
      </c>
      <c r="Q25">
        <v>625</v>
      </c>
      <c r="R25">
        <v>630</v>
      </c>
    </row>
    <row r="26" spans="1:19" x14ac:dyDescent="0.3">
      <c r="B26" t="s">
        <v>69</v>
      </c>
      <c r="E26" s="33">
        <f>E25/E22</f>
        <v>-5.9216809933142309E-2</v>
      </c>
      <c r="F26" s="33">
        <f t="shared" ref="F26:M26" si="10">F25/F22</f>
        <v>0.31989482909728306</v>
      </c>
      <c r="G26" s="33">
        <f t="shared" si="10"/>
        <v>0.17874165872259296</v>
      </c>
      <c r="H26" s="33">
        <f t="shared" si="10"/>
        <v>-0.61477151965993626</v>
      </c>
      <c r="I26" s="33">
        <f t="shared" si="10"/>
        <v>-0.16522195954820068</v>
      </c>
      <c r="J26" s="33">
        <f t="shared" si="10"/>
        <v>0.10038910505836576</v>
      </c>
      <c r="K26" s="33">
        <f t="shared" si="10"/>
        <v>0.1869652284726015</v>
      </c>
      <c r="L26" s="33">
        <f t="shared" si="10"/>
        <v>0.27446465576790235</v>
      </c>
      <c r="M26" s="33">
        <f t="shared" si="10"/>
        <v>-7.853529270055408E-2</v>
      </c>
      <c r="N26" s="72">
        <f t="shared" ref="N26" si="11">N25/N22</f>
        <v>0.13981941191437722</v>
      </c>
      <c r="O26" s="33">
        <f t="shared" ref="O26" si="12">O25/O22</f>
        <v>0.14208596999120401</v>
      </c>
      <c r="P26" s="33">
        <f t="shared" ref="P26" si="13">P25/P22</f>
        <v>0.13842752225253976</v>
      </c>
      <c r="Q26" s="33">
        <f t="shared" ref="Q26" si="14">Q25/Q22</f>
        <v>0.13915385080857851</v>
      </c>
      <c r="R26" s="33">
        <f t="shared" ref="R26" si="15">R25/R22</f>
        <v>0.13800720358172067</v>
      </c>
    </row>
    <row r="28" spans="1:19" x14ac:dyDescent="0.3">
      <c r="A28" t="s">
        <v>5</v>
      </c>
      <c r="B28" s="30" t="s">
        <v>70</v>
      </c>
      <c r="C28" s="30"/>
      <c r="D28" s="30"/>
      <c r="E28" s="30">
        <v>2015</v>
      </c>
      <c r="F28" s="30">
        <v>2016</v>
      </c>
      <c r="G28" s="30">
        <v>2017</v>
      </c>
      <c r="H28" s="30">
        <v>2018</v>
      </c>
      <c r="I28" s="30">
        <v>2019</v>
      </c>
      <c r="J28" s="30">
        <v>2020</v>
      </c>
      <c r="K28" s="30">
        <v>2021</v>
      </c>
      <c r="L28" s="30">
        <v>2022</v>
      </c>
      <c r="M28" s="30">
        <v>2023</v>
      </c>
      <c r="N28" s="70" t="s">
        <v>59</v>
      </c>
      <c r="O28" s="31" t="s">
        <v>60</v>
      </c>
      <c r="P28" s="31" t="s">
        <v>61</v>
      </c>
      <c r="Q28" s="31" t="s">
        <v>62</v>
      </c>
      <c r="R28" s="31" t="s">
        <v>63</v>
      </c>
      <c r="S28" s="31" t="s">
        <v>64</v>
      </c>
    </row>
    <row r="29" spans="1:19" x14ac:dyDescent="0.3">
      <c r="B29" s="43" t="s">
        <v>151</v>
      </c>
      <c r="E29">
        <f>HLOOKUP(E18,'IS Reference'!$B$8:$K$41,7,0)</f>
        <v>4061</v>
      </c>
      <c r="F29">
        <f>HLOOKUP(F18,'IS Reference'!$B$8:$K$41,7,0)</f>
        <v>332</v>
      </c>
      <c r="G29">
        <f>HLOOKUP(G18,'IS Reference'!$B$8:$K$41,7,0)</f>
        <v>354</v>
      </c>
      <c r="H29">
        <f>HLOOKUP(H18,'IS Reference'!$B$8:$K$41,7,0)</f>
        <v>528</v>
      </c>
      <c r="I29">
        <f>HLOOKUP(I18,'IS Reference'!$B$8:$K$41,7,0)</f>
        <v>739</v>
      </c>
      <c r="J29">
        <f>HLOOKUP(J18,'IS Reference'!$B$8:$K$41,7,0)</f>
        <v>786</v>
      </c>
      <c r="K29">
        <f>HLOOKUP(K18,'IS Reference'!$B$8:$K$41,7,0)</f>
        <v>781</v>
      </c>
      <c r="L29">
        <f>HLOOKUP(L18,'IS Reference'!$B$8:$K$41,7,0)</f>
        <v>770</v>
      </c>
      <c r="M29">
        <f>HLOOKUP(M18,'IS Reference'!$B$8:$K$41,7,0)</f>
        <v>841</v>
      </c>
      <c r="N29" s="68">
        <v>757</v>
      </c>
      <c r="O29">
        <v>801</v>
      </c>
      <c r="P29">
        <v>964</v>
      </c>
      <c r="Q29" s="42">
        <f>Q30*Q19</f>
        <v>823.95425986783357</v>
      </c>
      <c r="R29" s="42">
        <f>R30*R19</f>
        <v>837.38390470473996</v>
      </c>
    </row>
    <row r="30" spans="1:19" x14ac:dyDescent="0.3">
      <c r="B30" t="s">
        <v>67</v>
      </c>
      <c r="E30" s="33">
        <f>E29/E19</f>
        <v>8.0466830466830466E-2</v>
      </c>
      <c r="F30" s="33">
        <f t="shared" ref="F30:M30" si="16">F29/F19</f>
        <v>6.8853954954581275E-3</v>
      </c>
      <c r="G30" s="33">
        <f t="shared" si="16"/>
        <v>6.7800505630889454E-3</v>
      </c>
      <c r="H30" s="33">
        <f t="shared" si="16"/>
        <v>9.0829333746193942E-3</v>
      </c>
      <c r="I30" s="33">
        <f t="shared" si="16"/>
        <v>1.2669078191699096E-2</v>
      </c>
      <c r="J30" s="33">
        <f t="shared" si="16"/>
        <v>1.3903875749588721E-2</v>
      </c>
      <c r="K30" s="33">
        <f t="shared" si="16"/>
        <v>1.2348607026531322E-2</v>
      </c>
      <c r="L30" s="33">
        <f t="shared" si="16"/>
        <v>1.2412748053455418E-2</v>
      </c>
      <c r="M30" s="33">
        <f t="shared" si="16"/>
        <v>1.5726975222066387E-2</v>
      </c>
      <c r="N30" s="72">
        <f t="shared" ref="N30" si="17">N29/N19</f>
        <v>1.410608070839731E-2</v>
      </c>
      <c r="O30" s="33">
        <f t="shared" ref="O30" si="18">O29/O19</f>
        <v>1.4401838257107873E-2</v>
      </c>
      <c r="P30" s="33">
        <f t="shared" ref="P30" si="19">P29/P19</f>
        <v>1.6818686188439073E-2</v>
      </c>
      <c r="Q30" s="33">
        <f>AVERAGE(L30:P30)</f>
        <v>1.4693265685893211E-2</v>
      </c>
      <c r="R30" s="33">
        <f>AVERAGE(L30:P30)</f>
        <v>1.4693265685893211E-2</v>
      </c>
    </row>
    <row r="31" spans="1:19" x14ac:dyDescent="0.3">
      <c r="B31" t="s">
        <v>71</v>
      </c>
    </row>
    <row r="33" spans="1:19" x14ac:dyDescent="0.3">
      <c r="B33" s="43" t="s">
        <v>152</v>
      </c>
      <c r="E33">
        <f>HLOOKUP(E28,Sheet4!$B$8:$K$28,21,0)</f>
        <v>-3603</v>
      </c>
      <c r="F33">
        <f>HLOOKUP(F28,Sheet4!$B$8:$K$28,21,0)</f>
        <v>-433</v>
      </c>
      <c r="G33">
        <f>HLOOKUP(G28,Sheet4!$B$8:$K$28,21,0)</f>
        <v>-402</v>
      </c>
      <c r="H33">
        <f>HLOOKUP(H28,Sheet4!$B$8:$K$28,21,0)</f>
        <v>-546</v>
      </c>
      <c r="I33">
        <f>HLOOKUP(I28,Sheet4!$B$8:$K$28,21,0)</f>
        <v>-671</v>
      </c>
      <c r="J33">
        <f>HLOOKUP(J28,Sheet4!$B$8:$K$28,21,0)</f>
        <v>-580</v>
      </c>
      <c r="K33">
        <f>HLOOKUP(K28,Sheet4!$B$8:$K$28,21,0)</f>
        <v>-582</v>
      </c>
      <c r="L33">
        <f>HLOOKUP(L28,Sheet4!$B$8:$K$28,21,0)</f>
        <v>-791</v>
      </c>
      <c r="M33">
        <f>HLOOKUP(M28,Sheet4!$B$8:$K$28,21,0)</f>
        <v>-609</v>
      </c>
      <c r="N33" s="68">
        <v>-656</v>
      </c>
      <c r="O33">
        <v>-656</v>
      </c>
      <c r="P33">
        <v>-616</v>
      </c>
      <c r="Q33">
        <v>-561</v>
      </c>
      <c r="R33">
        <v>-570</v>
      </c>
    </row>
    <row r="34" spans="1:19" x14ac:dyDescent="0.3">
      <c r="B34" t="s">
        <v>67</v>
      </c>
      <c r="E34" s="33">
        <f>E33/E19</f>
        <v>-7.1391773004676237E-2</v>
      </c>
      <c r="F34" s="33">
        <f t="shared" ref="F34:R34" si="20">F33/F19</f>
        <v>-8.9800489443776187E-3</v>
      </c>
      <c r="G34" s="33">
        <f t="shared" si="20"/>
        <v>-7.6993794529993109E-3</v>
      </c>
      <c r="H34" s="33">
        <f t="shared" si="20"/>
        <v>-9.3925788305723283E-3</v>
      </c>
      <c r="I34" s="33">
        <f t="shared" si="20"/>
        <v>-1.1503317275548165E-2</v>
      </c>
      <c r="J34" s="33">
        <f t="shared" si="20"/>
        <v>-1.0259857423360634E-2</v>
      </c>
      <c r="K34" s="33">
        <f t="shared" si="20"/>
        <v>-9.2021629826392181E-3</v>
      </c>
      <c r="L34" s="33">
        <f t="shared" si="20"/>
        <v>-1.2751277545822386E-2</v>
      </c>
      <c r="M34" s="33">
        <f t="shared" si="20"/>
        <v>-1.1388499298737727E-2</v>
      </c>
      <c r="N34" s="72">
        <f t="shared" si="20"/>
        <v>-1.2224027668043111E-2</v>
      </c>
      <c r="O34" s="33">
        <f t="shared" si="20"/>
        <v>-1.1794763915933539E-2</v>
      </c>
      <c r="P34" s="33">
        <f t="shared" si="20"/>
        <v>-1.0747210261492187E-2</v>
      </c>
      <c r="Q34" s="33">
        <f t="shared" si="20"/>
        <v>-1.0004101503290119E-2</v>
      </c>
      <c r="R34" s="33">
        <f t="shared" si="20"/>
        <v>-1.0001579196715271E-2</v>
      </c>
    </row>
    <row r="36" spans="1:19" x14ac:dyDescent="0.3">
      <c r="B36" s="43" t="s">
        <v>72</v>
      </c>
      <c r="E36">
        <f>HLOOKUP(E28,Sheet4!$B$8:$K$28,13,0)</f>
        <v>-4413</v>
      </c>
      <c r="F36">
        <f>HLOOKUP(F28,Sheet4!$B$8:$K$28,13,0)</f>
        <v>-327</v>
      </c>
      <c r="G36">
        <f>HLOOKUP(G28,Sheet4!$B$8:$K$28,13,0)</f>
        <v>-161</v>
      </c>
      <c r="H36">
        <f>HLOOKUP(H28,Sheet4!$B$8:$K$28,13,0)</f>
        <v>1607</v>
      </c>
      <c r="I36">
        <f>HLOOKUP(I28,Sheet4!$B$8:$K$28,13,0)</f>
        <v>-201</v>
      </c>
      <c r="J36">
        <f>HLOOKUP(J28,Sheet4!$B$8:$K$28,13,0)</f>
        <v>-666</v>
      </c>
      <c r="K36">
        <f>HLOOKUP(K28,Sheet4!$B$8:$K$28,13,0)</f>
        <v>-1319</v>
      </c>
      <c r="L36">
        <f>HLOOKUP(L28,Sheet4!$B$8:$K$28,13,0)</f>
        <v>-1062</v>
      </c>
      <c r="M36">
        <f>HLOOKUP(M28,Sheet4!$B$8:$K$28,13,0)</f>
        <v>-574</v>
      </c>
      <c r="N36" s="68">
        <v>-616</v>
      </c>
      <c r="O36">
        <v>250</v>
      </c>
      <c r="P36" s="42">
        <v>-102</v>
      </c>
      <c r="Q36" s="42">
        <v>-58</v>
      </c>
      <c r="R36" s="42">
        <v>-89</v>
      </c>
    </row>
    <row r="37" spans="1:19" x14ac:dyDescent="0.3">
      <c r="B37" t="s">
        <v>67</v>
      </c>
      <c r="E37" s="33">
        <f>E36/E19</f>
        <v>-8.744154711896647E-2</v>
      </c>
      <c r="F37" s="33">
        <f t="shared" ref="F37:M37" si="21">F36/F19</f>
        <v>-6.781699780165084E-3</v>
      </c>
      <c r="G37" s="33">
        <f t="shared" si="21"/>
        <v>-3.0835823182410174E-3</v>
      </c>
      <c r="H37" s="33">
        <f t="shared" si="21"/>
        <v>2.764445820646471E-2</v>
      </c>
      <c r="I37" s="33">
        <f t="shared" si="21"/>
        <v>-3.4458521197990779E-3</v>
      </c>
      <c r="J37" s="33">
        <f t="shared" si="21"/>
        <v>-1.1781146627514108E-2</v>
      </c>
      <c r="K37" s="33">
        <f t="shared" si="21"/>
        <v>-2.0855073838661732E-2</v>
      </c>
      <c r="L37" s="33">
        <f t="shared" si="21"/>
        <v>-1.7119920042557992E-2</v>
      </c>
      <c r="M37" s="33">
        <f t="shared" si="21"/>
        <v>-1.0733987844787284E-2</v>
      </c>
      <c r="N37" s="72">
        <v>-1.4844261276025339E-2</v>
      </c>
      <c r="O37" s="33">
        <v>4.5123919778455078E-3</v>
      </c>
      <c r="P37" s="33">
        <v>-1.7917857570470539E-3</v>
      </c>
      <c r="Q37" s="33">
        <v>-1.0436999119340057E-3</v>
      </c>
      <c r="R37" s="33">
        <v>-1.5783859933127121E-3</v>
      </c>
    </row>
    <row r="38" spans="1:19" x14ac:dyDescent="0.3">
      <c r="B38" t="s">
        <v>73</v>
      </c>
      <c r="F38" s="33">
        <f>F36/(F19-E19)</f>
        <v>0.14533333333333334</v>
      </c>
      <c r="G38" s="33">
        <f t="shared" ref="G38:R38" si="22">G36/(G19-F19)</f>
        <v>-4.031046569854782E-2</v>
      </c>
      <c r="H38" s="33">
        <f t="shared" si="22"/>
        <v>0.27149856394661259</v>
      </c>
      <c r="I38" s="33">
        <f t="shared" si="22"/>
        <v>-1.0049999999999999</v>
      </c>
      <c r="J38" s="33">
        <f t="shared" si="22"/>
        <v>0.37</v>
      </c>
      <c r="K38" s="33">
        <f t="shared" si="22"/>
        <v>-0.19642591213700669</v>
      </c>
      <c r="L38" s="33">
        <f t="shared" si="22"/>
        <v>0.87551525144270403</v>
      </c>
      <c r="M38" s="33">
        <f t="shared" si="22"/>
        <v>6.7071745734984811E-2</v>
      </c>
      <c r="N38" s="72">
        <f t="shared" si="22"/>
        <v>-3.2455216016859354</v>
      </c>
      <c r="O38" s="33">
        <f t="shared" si="22"/>
        <v>0.1280016384209719</v>
      </c>
      <c r="P38" s="33">
        <f t="shared" si="22"/>
        <v>-6.002471605955409E-2</v>
      </c>
      <c r="Q38" s="33">
        <f t="shared" si="22"/>
        <v>4.6766650540235558E-2</v>
      </c>
      <c r="R38" s="33">
        <f t="shared" si="22"/>
        <v>-9.7374179431072211E-2</v>
      </c>
    </row>
    <row r="40" spans="1:19" x14ac:dyDescent="0.3">
      <c r="A40" t="s">
        <v>5</v>
      </c>
      <c r="B40" s="30" t="s">
        <v>74</v>
      </c>
      <c r="C40" s="30"/>
      <c r="D40" s="30"/>
      <c r="E40" s="30">
        <v>2015</v>
      </c>
      <c r="F40" s="30">
        <v>2016</v>
      </c>
      <c r="G40" s="30">
        <v>2017</v>
      </c>
      <c r="H40" s="30">
        <v>2018</v>
      </c>
      <c r="I40" s="30">
        <v>2019</v>
      </c>
      <c r="J40" s="30">
        <v>2020</v>
      </c>
      <c r="K40" s="30">
        <v>2021</v>
      </c>
      <c r="L40" s="30">
        <v>2022</v>
      </c>
      <c r="M40" s="30">
        <v>2023</v>
      </c>
      <c r="N40" s="70" t="s">
        <v>59</v>
      </c>
      <c r="O40" s="31" t="s">
        <v>60</v>
      </c>
      <c r="P40" s="31" t="s">
        <v>61</v>
      </c>
      <c r="Q40" s="31" t="s">
        <v>62</v>
      </c>
      <c r="R40" s="31" t="s">
        <v>63</v>
      </c>
      <c r="S40" s="31" t="s">
        <v>64</v>
      </c>
    </row>
    <row r="41" spans="1:19" x14ac:dyDescent="0.3">
      <c r="B41" s="43" t="s">
        <v>65</v>
      </c>
      <c r="E41" s="32">
        <v>50468</v>
      </c>
      <c r="F41" s="32">
        <v>48218</v>
      </c>
      <c r="G41" s="32">
        <v>52212</v>
      </c>
      <c r="H41" s="32">
        <v>58131</v>
      </c>
      <c r="I41" s="32">
        <v>58331</v>
      </c>
      <c r="J41" s="32">
        <v>56531</v>
      </c>
      <c r="K41" s="32">
        <v>63246</v>
      </c>
      <c r="L41" s="32">
        <v>62033</v>
      </c>
      <c r="M41" s="32">
        <v>53475</v>
      </c>
      <c r="N41" s="71">
        <f ca="1">M41*(1+N42)</f>
        <v>53645.820000000007</v>
      </c>
      <c r="O41" s="32">
        <f t="shared" ref="O41:S41" ca="1" si="23">N41*(1+O42)</f>
        <v>55402.988310285335</v>
      </c>
      <c r="P41" s="32">
        <f t="shared" ca="1" si="23"/>
        <v>56926.448711201243</v>
      </c>
      <c r="Q41" s="32">
        <f t="shared" ca="1" si="23"/>
        <v>55571.529073452111</v>
      </c>
      <c r="R41" s="32">
        <f t="shared" ca="1" si="23"/>
        <v>56386.71426195759</v>
      </c>
      <c r="S41" s="32">
        <f t="shared" ca="1" si="23"/>
        <v>56950.581404577169</v>
      </c>
    </row>
    <row r="42" spans="1:19" x14ac:dyDescent="0.3">
      <c r="B42" t="s">
        <v>66</v>
      </c>
      <c r="F42" s="33">
        <v>-4.4582705873028455E-2</v>
      </c>
      <c r="G42" s="33">
        <v>8.2832137376083623E-2</v>
      </c>
      <c r="H42" s="33">
        <v>0.11336474373707194</v>
      </c>
      <c r="I42" s="33">
        <v>3.4405050661437098E-3</v>
      </c>
      <c r="J42" s="33">
        <v>-3.0858377192230547E-2</v>
      </c>
      <c r="K42" s="33">
        <v>0.11878438378942527</v>
      </c>
      <c r="L42" s="33">
        <v>-1.9179078518799606E-2</v>
      </c>
      <c r="M42" s="33">
        <v>-0.13795882836554738</v>
      </c>
      <c r="N42" s="81">
        <f ca="1">OFFSET(N42,$D$9,0)</f>
        <v>3.194389901823331E-3</v>
      </c>
      <c r="O42" s="33">
        <f t="shared" ref="O42:S42" ca="1" si="24">OFFSET(O42,$D$9,0)</f>
        <v>3.2754990235685191E-2</v>
      </c>
      <c r="P42" s="33">
        <f t="shared" ca="1" si="24"/>
        <v>2.7497801966632974E-2</v>
      </c>
      <c r="Q42" s="33">
        <f t="shared" ca="1" si="24"/>
        <v>-2.3801232439826039E-2</v>
      </c>
      <c r="R42" s="33">
        <f t="shared" ca="1" si="24"/>
        <v>1.4669115680225404E-2</v>
      </c>
      <c r="S42" s="33">
        <f t="shared" ca="1" si="24"/>
        <v>0.01</v>
      </c>
    </row>
    <row r="43" spans="1:19" x14ac:dyDescent="0.3">
      <c r="B43" t="s">
        <v>136</v>
      </c>
      <c r="N43" s="76">
        <f>N44*$H$9</f>
        <v>3.194389901823331E-3</v>
      </c>
      <c r="O43" s="76">
        <f t="shared" ref="O43:P43" si="25">O44*$H$9</f>
        <v>3.2754990235685191E-2</v>
      </c>
      <c r="P43" s="76">
        <f t="shared" si="25"/>
        <v>2.7497801966632974E-2</v>
      </c>
      <c r="Q43" s="76">
        <f>Q44*1.1</f>
        <v>-2.3801232439826039E-2</v>
      </c>
      <c r="R43" s="76">
        <f>R44*0.9</f>
        <v>1.4669115680225404E-2</v>
      </c>
      <c r="S43" s="77">
        <v>0.01</v>
      </c>
    </row>
    <row r="44" spans="1:19" x14ac:dyDescent="0.3">
      <c r="B44" t="s">
        <v>138</v>
      </c>
      <c r="N44" s="76">
        <v>3.5493221131370342E-3</v>
      </c>
      <c r="O44" s="76">
        <v>3.6394433595205763E-2</v>
      </c>
      <c r="P44" s="76">
        <v>3.0553113296258858E-2</v>
      </c>
      <c r="Q44" s="76">
        <v>-2.1637484036205488E-2</v>
      </c>
      <c r="R44" s="76">
        <v>1.629901742247267E-2</v>
      </c>
      <c r="S44" s="77">
        <v>0.02</v>
      </c>
    </row>
    <row r="45" spans="1:19" x14ac:dyDescent="0.3">
      <c r="B45" t="s">
        <v>139</v>
      </c>
      <c r="N45" s="76">
        <f>N44*$P$9</f>
        <v>3.9042543244507378E-3</v>
      </c>
      <c r="O45" s="76">
        <f t="shared" ref="O45:P45" si="26">O44*$P$9</f>
        <v>4.0033876954726343E-2</v>
      </c>
      <c r="P45" s="76">
        <f t="shared" si="26"/>
        <v>3.3608424625884745E-2</v>
      </c>
      <c r="Q45" s="76">
        <f>Q44*0.9</f>
        <v>-1.9473735632584942E-2</v>
      </c>
      <c r="R45" s="76">
        <f>R44*1.1</f>
        <v>1.7928919164719941E-2</v>
      </c>
      <c r="S45" s="77">
        <v>0.03</v>
      </c>
    </row>
    <row r="47" spans="1:19" x14ac:dyDescent="0.3">
      <c r="B47" s="43" t="s">
        <v>57</v>
      </c>
      <c r="E47">
        <f>E22</f>
        <v>3141</v>
      </c>
      <c r="F47">
        <f t="shared" ref="F47:M47" si="27">F22</f>
        <v>3423</v>
      </c>
      <c r="G47">
        <f t="shared" si="27"/>
        <v>4196</v>
      </c>
      <c r="H47">
        <f t="shared" si="27"/>
        <v>3764</v>
      </c>
      <c r="I47">
        <f t="shared" si="27"/>
        <v>3807</v>
      </c>
      <c r="J47">
        <f t="shared" si="27"/>
        <v>3855</v>
      </c>
      <c r="K47">
        <f t="shared" si="27"/>
        <v>5493</v>
      </c>
      <c r="L47">
        <f t="shared" si="27"/>
        <v>4343</v>
      </c>
      <c r="M47">
        <f t="shared" si="27"/>
        <v>4151</v>
      </c>
      <c r="N47" s="82">
        <f ca="1">N48*N41</f>
        <v>4366.8494997836578</v>
      </c>
      <c r="O47" s="42">
        <f t="shared" ref="O47:S47" ca="1" si="28">O48*O41</f>
        <v>4432.5677896783573</v>
      </c>
      <c r="P47" s="42">
        <f ca="1">P48*P41</f>
        <v>4484.9352626675773</v>
      </c>
      <c r="Q47" s="42">
        <f t="shared" ca="1" si="28"/>
        <v>4228.3990690982664</v>
      </c>
      <c r="R47" s="42">
        <f t="shared" ca="1" si="28"/>
        <v>4290.7470217636628</v>
      </c>
      <c r="S47" s="42">
        <f t="shared" ca="1" si="28"/>
        <v>4328.2441867478647</v>
      </c>
    </row>
    <row r="48" spans="1:19" x14ac:dyDescent="0.3">
      <c r="B48" t="s">
        <v>67</v>
      </c>
      <c r="E48" s="33">
        <f>E23</f>
        <v>6.2237457398747718E-2</v>
      </c>
      <c r="F48" s="33">
        <f t="shared" ref="F48:M48" si="29">F23</f>
        <v>7.0990086689617982E-2</v>
      </c>
      <c r="G48" s="33">
        <f t="shared" si="29"/>
        <v>8.0364667126331113E-2</v>
      </c>
      <c r="H48" s="33">
        <f t="shared" si="29"/>
        <v>6.4750305344824621E-2</v>
      </c>
      <c r="I48" s="33">
        <f t="shared" si="29"/>
        <v>6.5265467761567608E-2</v>
      </c>
      <c r="J48" s="33">
        <f t="shared" si="29"/>
        <v>6.8192673046646973E-2</v>
      </c>
      <c r="K48" s="33">
        <f t="shared" si="29"/>
        <v>8.6851342377383553E-2</v>
      </c>
      <c r="L48" s="33">
        <f t="shared" si="29"/>
        <v>7.001112311189206E-2</v>
      </c>
      <c r="M48" s="33">
        <f t="shared" si="29"/>
        <v>7.7625058438522673E-2</v>
      </c>
      <c r="N48" s="81">
        <f ca="1">OFFSET(N48,$D$10,0)</f>
        <v>8.1401486635560003E-2</v>
      </c>
      <c r="O48" s="33">
        <f t="shared" ref="O48:S48" ca="1" si="30">OFFSET(O48,$D$10,0)</f>
        <v>8.0005933341604052E-2</v>
      </c>
      <c r="P48" s="33">
        <f t="shared" ca="1" si="30"/>
        <v>7.8784736518880905E-2</v>
      </c>
      <c r="Q48" s="33">
        <f t="shared" ca="1" si="30"/>
        <v>7.6089305793787795E-2</v>
      </c>
      <c r="R48" s="33">
        <f t="shared" ca="1" si="30"/>
        <v>7.6094999999999996E-2</v>
      </c>
      <c r="S48" s="33">
        <f t="shared" ca="1" si="30"/>
        <v>7.5999999999999998E-2</v>
      </c>
    </row>
    <row r="49" spans="2:19" x14ac:dyDescent="0.3">
      <c r="B49" t="s">
        <v>136</v>
      </c>
      <c r="N49" s="76">
        <f>N50*0.95</f>
        <v>8.1401486635560003E-2</v>
      </c>
      <c r="O49" s="76">
        <f t="shared" ref="O49:S49" si="31">O50*0.95</f>
        <v>8.0005933341604052E-2</v>
      </c>
      <c r="P49" s="76">
        <f t="shared" si="31"/>
        <v>7.8784736518880905E-2</v>
      </c>
      <c r="Q49" s="76">
        <f t="shared" si="31"/>
        <v>7.6089305793787795E-2</v>
      </c>
      <c r="R49" s="76">
        <f t="shared" si="31"/>
        <v>7.6094999999999996E-2</v>
      </c>
      <c r="S49" s="76">
        <f t="shared" si="31"/>
        <v>7.5999999999999998E-2</v>
      </c>
    </row>
    <row r="50" spans="2:19" x14ac:dyDescent="0.3">
      <c r="B50" t="s">
        <v>138</v>
      </c>
      <c r="N50" s="76">
        <f>N23</f>
        <v>8.5685775405852635E-2</v>
      </c>
      <c r="O50" s="76">
        <f t="shared" ref="O50:R50" si="32">O23</f>
        <v>8.4216771938530582E-2</v>
      </c>
      <c r="P50" s="76">
        <f t="shared" si="32"/>
        <v>8.2931301598822005E-2</v>
      </c>
      <c r="Q50" s="76">
        <f t="shared" si="32"/>
        <v>8.0094006098723997E-2</v>
      </c>
      <c r="R50" s="76">
        <f t="shared" si="32"/>
        <v>8.0100000000000005E-2</v>
      </c>
      <c r="S50" s="76">
        <v>0.08</v>
      </c>
    </row>
    <row r="51" spans="2:19" x14ac:dyDescent="0.3">
      <c r="B51" t="s">
        <v>139</v>
      </c>
      <c r="N51" s="76">
        <f>N50*1.05</f>
        <v>8.9970064176145267E-2</v>
      </c>
      <c r="O51" s="76">
        <f t="shared" ref="O51:S51" si="33">O50*1.05</f>
        <v>8.8427610535457113E-2</v>
      </c>
      <c r="P51" s="76">
        <f t="shared" si="33"/>
        <v>8.7077866678763105E-2</v>
      </c>
      <c r="Q51" s="76">
        <f t="shared" si="33"/>
        <v>8.4098706403660198E-2</v>
      </c>
      <c r="R51" s="76">
        <f t="shared" si="33"/>
        <v>8.4105000000000013E-2</v>
      </c>
      <c r="S51" s="76">
        <f t="shared" si="33"/>
        <v>8.4000000000000005E-2</v>
      </c>
    </row>
    <row r="53" spans="2:19" x14ac:dyDescent="0.3">
      <c r="B53" s="43" t="s">
        <v>68</v>
      </c>
      <c r="E53">
        <f>E25</f>
        <v>-186</v>
      </c>
      <c r="F53">
        <f t="shared" ref="F53:M53" si="34">F25</f>
        <v>1095</v>
      </c>
      <c r="G53">
        <f t="shared" si="34"/>
        <v>750</v>
      </c>
      <c r="H53">
        <f t="shared" si="34"/>
        <v>-2314</v>
      </c>
      <c r="I53">
        <f t="shared" si="34"/>
        <v>-629</v>
      </c>
      <c r="J53">
        <f t="shared" si="34"/>
        <v>387</v>
      </c>
      <c r="K53">
        <f t="shared" si="34"/>
        <v>1027</v>
      </c>
      <c r="L53">
        <f t="shared" si="34"/>
        <v>1192</v>
      </c>
      <c r="M53">
        <f t="shared" si="34"/>
        <v>-326</v>
      </c>
      <c r="N53" s="82">
        <f ca="1">N54*N47</f>
        <v>609.1702287978585</v>
      </c>
      <c r="O53" s="42">
        <f t="shared" ref="O53:S53" ca="1" si="35">O54*O47</f>
        <v>618.33785083139571</v>
      </c>
      <c r="P53" s="42">
        <f t="shared" ca="1" si="35"/>
        <v>625.64305003828144</v>
      </c>
      <c r="Q53" s="42">
        <f t="shared" ca="1" si="35"/>
        <v>589.85656100556093</v>
      </c>
      <c r="R53" s="42">
        <f t="shared" ca="1" si="35"/>
        <v>598.55402506795633</v>
      </c>
      <c r="S53" s="42">
        <f t="shared" ca="1" si="35"/>
        <v>603.78483427579113</v>
      </c>
    </row>
    <row r="54" spans="2:19" x14ac:dyDescent="0.3">
      <c r="B54" t="s">
        <v>69</v>
      </c>
      <c r="E54" s="33">
        <f>E26</f>
        <v>-5.9216809933142309E-2</v>
      </c>
      <c r="F54" s="33">
        <f t="shared" ref="F54:M54" si="36">F26</f>
        <v>0.31989482909728306</v>
      </c>
      <c r="G54" s="33">
        <f t="shared" si="36"/>
        <v>0.17874165872259296</v>
      </c>
      <c r="H54" s="33">
        <f t="shared" si="36"/>
        <v>-0.61477151965993626</v>
      </c>
      <c r="I54" s="33">
        <f t="shared" si="36"/>
        <v>-0.16522195954820068</v>
      </c>
      <c r="J54" s="33">
        <f t="shared" si="36"/>
        <v>0.10038910505836576</v>
      </c>
      <c r="K54" s="33">
        <f t="shared" si="36"/>
        <v>0.1869652284726015</v>
      </c>
      <c r="L54" s="33">
        <f t="shared" si="36"/>
        <v>0.27446465576790235</v>
      </c>
      <c r="M54" s="33">
        <f t="shared" si="36"/>
        <v>-7.853529270055408E-2</v>
      </c>
      <c r="N54" s="72">
        <f>WACC!$F$18</f>
        <v>0.13949879170968404</v>
      </c>
      <c r="O54" s="33">
        <f>WACC!$F$18</f>
        <v>0.13949879170968404</v>
      </c>
      <c r="P54" s="33">
        <f>WACC!$F$18</f>
        <v>0.13949879170968404</v>
      </c>
      <c r="Q54" s="33">
        <f>WACC!$F$18</f>
        <v>0.13949879170968404</v>
      </c>
      <c r="R54" s="33">
        <f>WACC!$F$18</f>
        <v>0.13949879170968404</v>
      </c>
      <c r="S54" s="33">
        <f>WACC!$F$18</f>
        <v>0.13949879170968404</v>
      </c>
    </row>
    <row r="56" spans="2:19" x14ac:dyDescent="0.3">
      <c r="B56" s="79" t="s">
        <v>140</v>
      </c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3">
        <f ca="1">N47-N53</f>
        <v>3757.6792709857991</v>
      </c>
      <c r="O56" s="84">
        <f t="shared" ref="O56:S56" ca="1" si="37">O47-O53</f>
        <v>3814.2299388469614</v>
      </c>
      <c r="P56" s="84">
        <f t="shared" ca="1" si="37"/>
        <v>3859.292212629296</v>
      </c>
      <c r="Q56" s="84">
        <f t="shared" ca="1" si="37"/>
        <v>3638.5425080927052</v>
      </c>
      <c r="R56" s="84">
        <f t="shared" ca="1" si="37"/>
        <v>3692.1929966957064</v>
      </c>
      <c r="S56" s="85">
        <f t="shared" ca="1" si="37"/>
        <v>3724.4593524720735</v>
      </c>
    </row>
    <row r="58" spans="2:19" x14ac:dyDescent="0.3">
      <c r="B58" s="43" t="s">
        <v>151</v>
      </c>
      <c r="E58">
        <f>E29</f>
        <v>4061</v>
      </c>
      <c r="F58">
        <f t="shared" ref="F58:M58" si="38">F29</f>
        <v>332</v>
      </c>
      <c r="G58">
        <f t="shared" si="38"/>
        <v>354</v>
      </c>
      <c r="H58">
        <f t="shared" si="38"/>
        <v>528</v>
      </c>
      <c r="I58">
        <f t="shared" si="38"/>
        <v>739</v>
      </c>
      <c r="J58">
        <f t="shared" si="38"/>
        <v>786</v>
      </c>
      <c r="K58">
        <f t="shared" si="38"/>
        <v>781</v>
      </c>
      <c r="L58">
        <f t="shared" si="38"/>
        <v>770</v>
      </c>
      <c r="M58">
        <f t="shared" si="38"/>
        <v>841</v>
      </c>
      <c r="N58" s="82">
        <f ca="1">N59*N41</f>
        <v>756.73226658815463</v>
      </c>
      <c r="O58" s="42">
        <f t="shared" ref="O58:S58" ca="1" si="39">O59*O41</f>
        <v>797.9048766051676</v>
      </c>
      <c r="P58" s="42">
        <f t="shared" ca="1" si="39"/>
        <v>957.42807669596561</v>
      </c>
      <c r="Q58" s="42">
        <f t="shared" ca="1" si="39"/>
        <v>816.52724124757083</v>
      </c>
      <c r="R58" s="42">
        <f t="shared" ca="1" si="39"/>
        <v>828.50497380548677</v>
      </c>
      <c r="S58" s="42">
        <f t="shared" ca="1" si="39"/>
        <v>837.17354664728441</v>
      </c>
    </row>
    <row r="59" spans="2:19" x14ac:dyDescent="0.3">
      <c r="B59" t="s">
        <v>67</v>
      </c>
      <c r="E59" s="33">
        <f>E30</f>
        <v>8.0466830466830466E-2</v>
      </c>
      <c r="F59" s="33">
        <f t="shared" ref="F59:R59" si="40">F30</f>
        <v>6.8853954954581275E-3</v>
      </c>
      <c r="G59" s="33">
        <f t="shared" si="40"/>
        <v>6.7800505630889454E-3</v>
      </c>
      <c r="H59" s="33">
        <f t="shared" si="40"/>
        <v>9.0829333746193942E-3</v>
      </c>
      <c r="I59" s="33">
        <f t="shared" si="40"/>
        <v>1.2669078191699096E-2</v>
      </c>
      <c r="J59" s="33">
        <f t="shared" si="40"/>
        <v>1.3903875749588721E-2</v>
      </c>
      <c r="K59" s="33">
        <f t="shared" si="40"/>
        <v>1.2348607026531322E-2</v>
      </c>
      <c r="L59" s="33">
        <f t="shared" si="40"/>
        <v>1.2412748053455418E-2</v>
      </c>
      <c r="M59" s="33">
        <f t="shared" si="40"/>
        <v>1.5726975222066387E-2</v>
      </c>
      <c r="N59" s="72">
        <f t="shared" si="40"/>
        <v>1.410608070839731E-2</v>
      </c>
      <c r="O59" s="33">
        <f t="shared" si="40"/>
        <v>1.4401838257107873E-2</v>
      </c>
      <c r="P59" s="33">
        <f t="shared" si="40"/>
        <v>1.6818686188439073E-2</v>
      </c>
      <c r="Q59" s="33">
        <f t="shared" si="40"/>
        <v>1.4693265685893211E-2</v>
      </c>
      <c r="R59" s="33">
        <f t="shared" si="40"/>
        <v>1.4693265685893211E-2</v>
      </c>
      <c r="S59" s="33">
        <v>1.47E-2</v>
      </c>
    </row>
    <row r="61" spans="2:19" x14ac:dyDescent="0.3">
      <c r="B61" s="43" t="s">
        <v>152</v>
      </c>
      <c r="E61">
        <f>E33</f>
        <v>-3603</v>
      </c>
      <c r="F61">
        <f t="shared" ref="F61:M61" si="41">F33</f>
        <v>-433</v>
      </c>
      <c r="G61">
        <f t="shared" si="41"/>
        <v>-402</v>
      </c>
      <c r="H61">
        <f t="shared" si="41"/>
        <v>-546</v>
      </c>
      <c r="I61">
        <f t="shared" si="41"/>
        <v>-671</v>
      </c>
      <c r="J61">
        <f t="shared" si="41"/>
        <v>-580</v>
      </c>
      <c r="K61">
        <f t="shared" si="41"/>
        <v>-582</v>
      </c>
      <c r="L61">
        <f t="shared" si="41"/>
        <v>-791</v>
      </c>
      <c r="M61">
        <f t="shared" si="41"/>
        <v>-609</v>
      </c>
      <c r="N61" s="82">
        <f ca="1">N62*N41</f>
        <v>-655.76798795486059</v>
      </c>
      <c r="O61" s="42">
        <f t="shared" ref="O61:S61" ca="1" si="42">O62*O41</f>
        <v>-653.46516735704108</v>
      </c>
      <c r="P61" s="42">
        <f t="shared" ca="1" si="42"/>
        <v>-611.80051373933065</v>
      </c>
      <c r="Q61" s="42">
        <f t="shared" ca="1" si="42"/>
        <v>-555.94321754385282</v>
      </c>
      <c r="R61" s="42">
        <f t="shared" ca="1" si="42"/>
        <v>-563.9561883335233</v>
      </c>
      <c r="S61" s="42">
        <f t="shared" ca="1" si="42"/>
        <v>-569.50581404577167</v>
      </c>
    </row>
    <row r="62" spans="2:19" x14ac:dyDescent="0.3">
      <c r="B62" t="s">
        <v>67</v>
      </c>
      <c r="E62" s="33">
        <f>E34</f>
        <v>-7.1391773004676237E-2</v>
      </c>
      <c r="F62" s="33">
        <f t="shared" ref="F62:M62" si="43">F34</f>
        <v>-8.9800489443776187E-3</v>
      </c>
      <c r="G62" s="33">
        <f t="shared" si="43"/>
        <v>-7.6993794529993109E-3</v>
      </c>
      <c r="H62" s="33">
        <f t="shared" si="43"/>
        <v>-9.3925788305723283E-3</v>
      </c>
      <c r="I62" s="33">
        <f t="shared" si="43"/>
        <v>-1.1503317275548165E-2</v>
      </c>
      <c r="J62" s="33">
        <f t="shared" si="43"/>
        <v>-1.0259857423360634E-2</v>
      </c>
      <c r="K62" s="33">
        <f t="shared" si="43"/>
        <v>-9.2021629826392181E-3</v>
      </c>
      <c r="L62" s="33">
        <f t="shared" si="43"/>
        <v>-1.2751277545822386E-2</v>
      </c>
      <c r="M62" s="33">
        <f t="shared" si="43"/>
        <v>-1.1388499298737727E-2</v>
      </c>
      <c r="N62" s="72">
        <v>-1.2224027668043111E-2</v>
      </c>
      <c r="O62" s="33">
        <v>-1.1794763915933539E-2</v>
      </c>
      <c r="P62" s="33">
        <v>-1.0747210261492187E-2</v>
      </c>
      <c r="Q62" s="33">
        <v>-1.0004101503290119E-2</v>
      </c>
      <c r="R62" s="33">
        <v>-1.0001579196715271E-2</v>
      </c>
      <c r="S62" s="33">
        <v>-0.01</v>
      </c>
    </row>
    <row r="64" spans="2:19" x14ac:dyDescent="0.3">
      <c r="B64" s="43" t="s">
        <v>72</v>
      </c>
      <c r="E64">
        <v>-4413</v>
      </c>
      <c r="F64">
        <v>-327</v>
      </c>
      <c r="G64">
        <v>-161</v>
      </c>
      <c r="H64">
        <v>1607</v>
      </c>
      <c r="I64">
        <v>-201</v>
      </c>
      <c r="J64">
        <v>-666</v>
      </c>
      <c r="K64">
        <v>-1319</v>
      </c>
      <c r="L64">
        <v>-1062</v>
      </c>
      <c r="M64">
        <v>-574</v>
      </c>
      <c r="N64" s="108">
        <v>-616</v>
      </c>
      <c r="O64" s="108">
        <v>250</v>
      </c>
      <c r="P64" s="109">
        <v>-102</v>
      </c>
      <c r="Q64" s="109">
        <v>-58</v>
      </c>
      <c r="R64" s="109">
        <v>-89</v>
      </c>
      <c r="S64" s="109">
        <v>-83</v>
      </c>
    </row>
    <row r="65" spans="2:19" x14ac:dyDescent="0.3">
      <c r="B65" t="s">
        <v>67</v>
      </c>
      <c r="E65" s="33">
        <v>-8.744154711896647E-2</v>
      </c>
      <c r="F65" s="33">
        <v>-6.781699780165084E-3</v>
      </c>
      <c r="G65" s="33">
        <v>-3.0835823182410174E-3</v>
      </c>
      <c r="H65" s="33">
        <v>2.764445820646471E-2</v>
      </c>
      <c r="I65" s="33">
        <v>-3.4458521197990779E-3</v>
      </c>
      <c r="J65" s="33">
        <v>-1.1781146627514108E-2</v>
      </c>
      <c r="K65" s="33">
        <v>-2.0855073838661732E-2</v>
      </c>
      <c r="L65" s="33">
        <v>-1.7119920042557992E-2</v>
      </c>
      <c r="M65" s="33">
        <v>-1.0733987844787284E-2</v>
      </c>
      <c r="N65" s="110">
        <f>AVERAGE($E$65:$M$65)</f>
        <v>-1.4844261276025339E-2</v>
      </c>
      <c r="O65" s="110">
        <f ca="1">O64/O41</f>
        <v>4.5123919778455078E-3</v>
      </c>
      <c r="P65" s="110">
        <f ca="1">P64/P41</f>
        <v>-1.7917857570470539E-3</v>
      </c>
      <c r="Q65" s="110">
        <f t="shared" ref="Q65:R65" ca="1" si="44">Q64/Q41</f>
        <v>-1.0436999119340057E-3</v>
      </c>
      <c r="R65" s="110">
        <f t="shared" ca="1" si="44"/>
        <v>-1.5783859933127121E-3</v>
      </c>
      <c r="S65" s="110">
        <f ca="1">S64/S41</f>
        <v>-1.4574039097224952E-3</v>
      </c>
    </row>
    <row r="67" spans="2:19" x14ac:dyDescent="0.3">
      <c r="B67" s="79" t="s">
        <v>150</v>
      </c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102">
        <f ca="1">N56+N58+N61-N64</f>
        <v>4474.6435496190934</v>
      </c>
      <c r="O67" s="103">
        <f t="shared" ref="O67:S67" ca="1" si="45">O56+O58+O61-O64</f>
        <v>3708.6696480950882</v>
      </c>
      <c r="P67" s="103">
        <f t="shared" ca="1" si="45"/>
        <v>4306.9197755859313</v>
      </c>
      <c r="Q67" s="103">
        <f t="shared" ca="1" si="45"/>
        <v>3957.126531796423</v>
      </c>
      <c r="R67" s="103">
        <f t="shared" ca="1" si="45"/>
        <v>4045.7417821676695</v>
      </c>
      <c r="S67" s="104">
        <f t="shared" ca="1" si="45"/>
        <v>4075.1270850735859</v>
      </c>
    </row>
    <row r="68" spans="2:19" x14ac:dyDescent="0.3">
      <c r="B68" s="79" t="s">
        <v>153</v>
      </c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3">
        <f ca="1">N67/(1+$D$14)^N72*N70</f>
        <v>3096.2690240354109</v>
      </c>
      <c r="O68" s="84">
        <f t="shared" ref="O68:S68" ca="1" si="46">O67/(1+$D$14)^O72</f>
        <v>3379.3213235286689</v>
      </c>
      <c r="P68" s="84">
        <f t="shared" ca="1" si="46"/>
        <v>3634.3745704053199</v>
      </c>
      <c r="Q68" s="84">
        <f t="shared" ca="1" si="46"/>
        <v>3092.3910253250788</v>
      </c>
      <c r="R68" s="84">
        <f t="shared" ca="1" si="46"/>
        <v>2927.9536101372009</v>
      </c>
      <c r="S68" s="85">
        <f t="shared" ca="1" si="46"/>
        <v>2731.2330053322316</v>
      </c>
    </row>
    <row r="69" spans="2:19" x14ac:dyDescent="0.3">
      <c r="B69" s="43"/>
    </row>
    <row r="70" spans="2:19" x14ac:dyDescent="0.3">
      <c r="B70" s="67" t="s">
        <v>175</v>
      </c>
      <c r="N70" s="100">
        <f>YEARFRAC(C5,C6)</f>
        <v>0.71111111111111114</v>
      </c>
    </row>
    <row r="71" spans="2:19" x14ac:dyDescent="0.3">
      <c r="B71" s="67" t="s">
        <v>176</v>
      </c>
      <c r="N71" s="68">
        <v>1</v>
      </c>
      <c r="O71">
        <v>2</v>
      </c>
      <c r="P71">
        <v>3</v>
      </c>
      <c r="Q71">
        <v>4</v>
      </c>
      <c r="R71">
        <v>5</v>
      </c>
      <c r="S71">
        <v>6</v>
      </c>
    </row>
    <row r="72" spans="2:19" x14ac:dyDescent="0.3">
      <c r="B72" s="67" t="s">
        <v>177</v>
      </c>
      <c r="N72" s="97">
        <f>N70*N71/2</f>
        <v>0.35555555555555557</v>
      </c>
      <c r="O72" s="98">
        <f>N70+0.5</f>
        <v>1.2111111111111112</v>
      </c>
      <c r="P72" s="101">
        <f>O72+1</f>
        <v>2.2111111111111112</v>
      </c>
      <c r="Q72" s="101">
        <f t="shared" ref="Q72:S72" si="47">P72+1</f>
        <v>3.2111111111111112</v>
      </c>
      <c r="R72" s="101">
        <f t="shared" si="47"/>
        <v>4.2111111111111112</v>
      </c>
      <c r="S72" s="101">
        <f t="shared" si="47"/>
        <v>5.2111111111111112</v>
      </c>
    </row>
    <row r="74" spans="2:19" x14ac:dyDescent="0.3">
      <c r="B74" s="43" t="s">
        <v>154</v>
      </c>
      <c r="S74" s="42">
        <f ca="1">(S67*(1+D15))/(D14-D15)</f>
        <v>69494.083711554544</v>
      </c>
    </row>
    <row r="75" spans="2:19" x14ac:dyDescent="0.3">
      <c r="B75" t="s">
        <v>155</v>
      </c>
      <c r="S75" s="105">
        <f ca="1">S74/(1+D14)^S72</f>
        <v>46576.347472336915</v>
      </c>
    </row>
    <row r="76" spans="2:19" x14ac:dyDescent="0.3">
      <c r="B76" s="43" t="s">
        <v>156</v>
      </c>
      <c r="S76" s="105">
        <f ca="1">SUM(S75,N68:S68)</f>
        <v>65437.890031100826</v>
      </c>
    </row>
    <row r="77" spans="2:19" x14ac:dyDescent="0.3">
      <c r="B77" t="s">
        <v>157</v>
      </c>
      <c r="S77">
        <v>2417</v>
      </c>
    </row>
    <row r="78" spans="2:19" x14ac:dyDescent="0.3">
      <c r="B78" s="67" t="s">
        <v>158</v>
      </c>
      <c r="S78">
        <v>-10116</v>
      </c>
    </row>
    <row r="79" spans="2:19" x14ac:dyDescent="0.3">
      <c r="B79" t="s">
        <v>159</v>
      </c>
      <c r="S79" s="105">
        <f ca="1">S76+S77+S78</f>
        <v>57738.890031100833</v>
      </c>
    </row>
    <row r="80" spans="2:19" x14ac:dyDescent="0.3">
      <c r="B80" t="s">
        <v>160</v>
      </c>
      <c r="S80">
        <v>978.48</v>
      </c>
    </row>
    <row r="81" spans="2:19" x14ac:dyDescent="0.3">
      <c r="B81" s="43" t="s">
        <v>161</v>
      </c>
      <c r="S81" s="101">
        <f ca="1">S79/S80</f>
        <v>59.008758514329195</v>
      </c>
    </row>
  </sheetData>
  <phoneticPr fontId="16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44F39-353B-411F-BE22-56CED52DD6B8}">
  <dimension ref="B2:F22"/>
  <sheetViews>
    <sheetView showGridLines="0" showRowColHeaders="0" workbookViewId="0">
      <selection activeCell="F18" sqref="F18"/>
    </sheetView>
  </sheetViews>
  <sheetFormatPr defaultRowHeight="14" x14ac:dyDescent="0.3"/>
  <cols>
    <col min="6" max="6" width="9.08203125" customWidth="1"/>
  </cols>
  <sheetData>
    <row r="2" spans="2:6" ht="19" x14ac:dyDescent="0.4">
      <c r="B2" s="1" t="s">
        <v>142</v>
      </c>
    </row>
    <row r="4" spans="2:6" x14ac:dyDescent="0.3">
      <c r="B4" t="s">
        <v>162</v>
      </c>
    </row>
    <row r="5" spans="2:6" x14ac:dyDescent="0.3">
      <c r="B5" t="s">
        <v>163</v>
      </c>
    </row>
    <row r="6" spans="2:6" ht="14.5" thickBot="1" x14ac:dyDescent="0.35"/>
    <row r="7" spans="2:6" x14ac:dyDescent="0.3">
      <c r="B7" s="87" t="s">
        <v>142</v>
      </c>
      <c r="C7" s="88"/>
      <c r="D7" s="88"/>
      <c r="E7" s="88"/>
      <c r="F7" s="89"/>
    </row>
    <row r="8" spans="2:6" x14ac:dyDescent="0.3">
      <c r="B8" s="90" t="s">
        <v>164</v>
      </c>
      <c r="F8" s="91">
        <v>27.916</v>
      </c>
    </row>
    <row r="9" spans="2:6" x14ac:dyDescent="0.3">
      <c r="B9" s="90" t="s">
        <v>165</v>
      </c>
      <c r="F9" s="92">
        <f>F8/F20</f>
        <v>0.73401346234749687</v>
      </c>
    </row>
    <row r="10" spans="2:6" x14ac:dyDescent="0.3">
      <c r="B10" s="90" t="s">
        <v>166</v>
      </c>
      <c r="F10" s="92">
        <f>F11+F12*F13</f>
        <v>0.10245</v>
      </c>
    </row>
    <row r="11" spans="2:6" x14ac:dyDescent="0.3">
      <c r="B11" s="90" t="s">
        <v>167</v>
      </c>
      <c r="F11" s="92">
        <v>4.58E-2</v>
      </c>
    </row>
    <row r="12" spans="2:6" x14ac:dyDescent="0.3">
      <c r="B12" s="90" t="s">
        <v>168</v>
      </c>
      <c r="F12" s="93">
        <v>1.03</v>
      </c>
    </row>
    <row r="13" spans="2:6" x14ac:dyDescent="0.3">
      <c r="B13" s="90" t="s">
        <v>169</v>
      </c>
      <c r="F13" s="92">
        <v>5.5E-2</v>
      </c>
    </row>
    <row r="14" spans="2:6" x14ac:dyDescent="0.3">
      <c r="B14" s="90"/>
      <c r="F14" s="93"/>
    </row>
    <row r="15" spans="2:6" x14ac:dyDescent="0.3">
      <c r="B15" s="90" t="s">
        <v>170</v>
      </c>
      <c r="F15" s="91">
        <v>10.116</v>
      </c>
    </row>
    <row r="16" spans="2:6" x14ac:dyDescent="0.3">
      <c r="B16" s="90" t="s">
        <v>171</v>
      </c>
      <c r="F16" s="92">
        <f>F15/F20</f>
        <v>0.26598653765250319</v>
      </c>
    </row>
    <row r="17" spans="2:6" x14ac:dyDescent="0.3">
      <c r="B17" s="90" t="s">
        <v>172</v>
      </c>
      <c r="F17" s="92">
        <v>4.2000000000000003E-2</v>
      </c>
    </row>
    <row r="18" spans="2:6" x14ac:dyDescent="0.3">
      <c r="B18" s="90" t="s">
        <v>173</v>
      </c>
      <c r="F18" s="92">
        <f>AVERAGE(DCF!N26:R26)</f>
        <v>0.13949879170968404</v>
      </c>
    </row>
    <row r="19" spans="2:6" x14ac:dyDescent="0.3">
      <c r="B19" s="90"/>
      <c r="F19" s="93"/>
    </row>
    <row r="20" spans="2:6" x14ac:dyDescent="0.3">
      <c r="B20" s="90" t="s">
        <v>174</v>
      </c>
      <c r="F20" s="91">
        <f>F15+F8</f>
        <v>38.031999999999996</v>
      </c>
    </row>
    <row r="21" spans="2:6" x14ac:dyDescent="0.3">
      <c r="B21" s="90"/>
      <c r="F21" s="93"/>
    </row>
    <row r="22" spans="2:6" ht="14.5" thickBot="1" x14ac:dyDescent="0.35">
      <c r="B22" s="94" t="s">
        <v>142</v>
      </c>
      <c r="C22" s="95"/>
      <c r="D22" s="95"/>
      <c r="E22" s="95"/>
      <c r="F22" s="96">
        <f>F9*F10+F16*F17*(1-F18)</f>
        <v>8.4812712173136393E-2</v>
      </c>
    </row>
  </sheetData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8A254-284B-4806-88B5-862AD0C1AE7F}">
  <dimension ref="A1:K59"/>
  <sheetViews>
    <sheetView topLeftCell="A28" workbookViewId="0">
      <selection activeCell="C7" sqref="C7"/>
    </sheetView>
  </sheetViews>
  <sheetFormatPr defaultColWidth="9.1640625" defaultRowHeight="14" outlineLevelRow="3" x14ac:dyDescent="0.3"/>
  <cols>
    <col min="1" max="1" width="50.25" customWidth="1"/>
    <col min="2" max="11" width="8.4140625" customWidth="1"/>
  </cols>
  <sheetData>
    <row r="1" spans="1:11" ht="15" customHeight="1" x14ac:dyDescent="0.3">
      <c r="A1" s="2" t="s">
        <v>7</v>
      </c>
    </row>
    <row r="2" spans="1:11" ht="15" customHeight="1" x14ac:dyDescent="0.3">
      <c r="A2" s="3" t="s">
        <v>8</v>
      </c>
    </row>
    <row r="3" spans="1:11" ht="1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 customHeight="1" x14ac:dyDescent="0.3"/>
    <row r="5" spans="1:11" ht="15" customHeight="1" x14ac:dyDescent="0.3">
      <c r="A5" s="5" t="s">
        <v>9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15" customHeight="1" x14ac:dyDescent="0.3">
      <c r="A6" s="5" t="s">
        <v>10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3">
      <c r="A7" s="5" t="s">
        <v>11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5" customHeight="1" x14ac:dyDescent="0.3">
      <c r="A8" s="5"/>
      <c r="B8" s="5">
        <v>2023</v>
      </c>
      <c r="C8" s="5">
        <v>2022</v>
      </c>
      <c r="D8" s="5">
        <v>2021</v>
      </c>
      <c r="E8" s="5">
        <v>2020</v>
      </c>
      <c r="F8" s="5">
        <v>2019</v>
      </c>
      <c r="G8" s="5">
        <v>2018</v>
      </c>
      <c r="H8" s="5">
        <v>2017</v>
      </c>
      <c r="I8" s="5">
        <v>2016</v>
      </c>
      <c r="J8" s="5">
        <v>2015</v>
      </c>
      <c r="K8" s="5">
        <v>2014</v>
      </c>
    </row>
    <row r="9" spans="1:11" ht="15" customHeigh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" customHeight="1" x14ac:dyDescent="0.3">
      <c r="A10" s="5"/>
      <c r="B10" s="5"/>
      <c r="C10" s="5"/>
      <c r="D10" s="5" t="s">
        <v>12</v>
      </c>
      <c r="E10" s="5"/>
      <c r="F10" s="5"/>
      <c r="G10" s="5" t="s">
        <v>12</v>
      </c>
      <c r="H10" s="5"/>
      <c r="I10" s="5" t="s">
        <v>12</v>
      </c>
      <c r="J10" s="5" t="s">
        <v>12</v>
      </c>
      <c r="K10" s="5"/>
    </row>
    <row r="11" spans="1:11" ht="15" customHeight="1" x14ac:dyDescent="0.3">
      <c r="A11" s="6" t="s">
        <v>13</v>
      </c>
      <c r="B11" s="7">
        <v>53475</v>
      </c>
      <c r="C11" s="7">
        <v>62033</v>
      </c>
      <c r="D11" s="7">
        <v>63246</v>
      </c>
      <c r="E11" s="7">
        <v>56531</v>
      </c>
      <c r="F11" s="7">
        <v>58331</v>
      </c>
      <c r="G11" s="7">
        <v>58131</v>
      </c>
      <c r="H11" s="7">
        <v>52212</v>
      </c>
      <c r="I11" s="7">
        <v>48218</v>
      </c>
      <c r="J11" s="7">
        <v>50468</v>
      </c>
      <c r="K11" s="7">
        <v>111475</v>
      </c>
    </row>
    <row r="12" spans="1:11" ht="15" customHeight="1" outlineLevel="1" x14ac:dyDescent="0.3">
      <c r="A12" s="8" t="s">
        <v>14</v>
      </c>
      <c r="B12" s="9">
        <v>42393</v>
      </c>
      <c r="C12" s="9">
        <v>50774</v>
      </c>
      <c r="D12" s="9">
        <v>50177</v>
      </c>
      <c r="E12" s="9">
        <v>46290</v>
      </c>
      <c r="F12" s="9">
        <v>47659</v>
      </c>
      <c r="G12" s="9">
        <v>47865</v>
      </c>
      <c r="H12" s="9">
        <v>42444</v>
      </c>
      <c r="I12" s="9">
        <v>39172</v>
      </c>
      <c r="J12" s="9">
        <v>41470</v>
      </c>
      <c r="K12" s="9">
        <v>85768</v>
      </c>
    </row>
    <row r="13" spans="1:11" ht="15" customHeight="1" outlineLevel="2" x14ac:dyDescent="0.3">
      <c r="A13" s="10" t="s">
        <v>15</v>
      </c>
      <c r="B13" s="11">
        <v>41552</v>
      </c>
      <c r="C13" s="11">
        <v>50004</v>
      </c>
      <c r="D13" s="11">
        <v>49396</v>
      </c>
      <c r="E13" s="11">
        <v>45504</v>
      </c>
      <c r="F13" s="11">
        <v>46920</v>
      </c>
      <c r="G13" s="11">
        <v>47337</v>
      </c>
      <c r="H13" s="11">
        <v>42090</v>
      </c>
      <c r="I13" s="11">
        <v>38840</v>
      </c>
      <c r="J13" s="11">
        <v>37409</v>
      </c>
      <c r="K13" s="11">
        <v>81434</v>
      </c>
    </row>
    <row r="14" spans="1:11" ht="15" customHeight="1" outlineLevel="2" x14ac:dyDescent="0.3">
      <c r="A14" s="12" t="s">
        <v>16</v>
      </c>
      <c r="B14" s="9">
        <v>841</v>
      </c>
      <c r="C14" s="9">
        <v>770</v>
      </c>
      <c r="D14" s="9">
        <v>781</v>
      </c>
      <c r="E14" s="9">
        <v>786</v>
      </c>
      <c r="F14" s="9">
        <v>739</v>
      </c>
      <c r="G14" s="9">
        <v>528</v>
      </c>
      <c r="H14" s="9">
        <v>354</v>
      </c>
      <c r="I14" s="9">
        <v>332</v>
      </c>
      <c r="J14" s="9">
        <v>4061</v>
      </c>
      <c r="K14" s="9">
        <v>4334</v>
      </c>
    </row>
    <row r="15" spans="1:11" ht="15" customHeight="1" outlineLevel="3" x14ac:dyDescent="0.3">
      <c r="A15" s="13" t="s">
        <v>17</v>
      </c>
      <c r="B15" s="11">
        <v>491</v>
      </c>
      <c r="C15" s="11">
        <v>542</v>
      </c>
      <c r="D15" s="11">
        <v>627</v>
      </c>
      <c r="E15" s="11">
        <v>673</v>
      </c>
      <c r="F15" s="11">
        <v>623</v>
      </c>
      <c r="G15" s="11">
        <v>448</v>
      </c>
      <c r="H15" s="11">
        <v>353</v>
      </c>
      <c r="I15" s="11">
        <v>316</v>
      </c>
      <c r="J15" s="11">
        <v>3959</v>
      </c>
      <c r="K15" s="11">
        <v>3334</v>
      </c>
    </row>
    <row r="16" spans="1:11" ht="15" customHeight="1" outlineLevel="3" x14ac:dyDescent="0.3">
      <c r="A16" s="14" t="s">
        <v>18</v>
      </c>
      <c r="B16" s="15">
        <v>350</v>
      </c>
      <c r="C16" s="15">
        <v>228</v>
      </c>
      <c r="D16" s="15">
        <v>154</v>
      </c>
      <c r="E16" s="15">
        <v>113</v>
      </c>
      <c r="F16" s="15">
        <v>116</v>
      </c>
      <c r="G16" s="15">
        <v>80</v>
      </c>
      <c r="H16" s="15">
        <v>1</v>
      </c>
      <c r="I16" s="15">
        <v>16</v>
      </c>
      <c r="J16" s="15">
        <v>102</v>
      </c>
      <c r="K16" s="15">
        <v>1000</v>
      </c>
    </row>
    <row r="17" spans="1:11" ht="15" customHeight="1" x14ac:dyDescent="0.3">
      <c r="A17" s="6" t="s">
        <v>19</v>
      </c>
      <c r="B17" s="7">
        <v>11082</v>
      </c>
      <c r="C17" s="7">
        <v>11259</v>
      </c>
      <c r="D17" s="7">
        <v>13069</v>
      </c>
      <c r="E17" s="7">
        <v>10241</v>
      </c>
      <c r="F17" s="7">
        <v>10672</v>
      </c>
      <c r="G17" s="7">
        <v>10266</v>
      </c>
      <c r="H17" s="7">
        <v>9768</v>
      </c>
      <c r="I17" s="7">
        <v>9046</v>
      </c>
      <c r="J17" s="7">
        <v>8998</v>
      </c>
      <c r="K17" s="7">
        <v>25707</v>
      </c>
    </row>
    <row r="18" spans="1:11" ht="15" customHeight="1" outlineLevel="1" x14ac:dyDescent="0.3">
      <c r="A18" s="8" t="s">
        <v>20</v>
      </c>
      <c r="B18" s="9">
        <v>6931</v>
      </c>
      <c r="C18" s="9">
        <v>6916</v>
      </c>
      <c r="D18" s="9">
        <v>7576</v>
      </c>
      <c r="E18" s="9">
        <v>6386</v>
      </c>
      <c r="F18" s="9">
        <v>6865</v>
      </c>
      <c r="G18" s="9">
        <v>6502</v>
      </c>
      <c r="H18" s="9">
        <v>5572</v>
      </c>
      <c r="I18" s="9">
        <v>5623</v>
      </c>
      <c r="J18" s="9">
        <v>5857</v>
      </c>
      <c r="K18" s="9">
        <v>16791</v>
      </c>
    </row>
    <row r="19" spans="1:11" ht="15" customHeight="1" outlineLevel="2" x14ac:dyDescent="0.3">
      <c r="A19" s="10" t="s">
        <v>21</v>
      </c>
      <c r="B19" s="11">
        <v>1578</v>
      </c>
      <c r="C19" s="11">
        <v>1653</v>
      </c>
      <c r="D19" s="11">
        <v>1848</v>
      </c>
      <c r="E19" s="11">
        <v>1478</v>
      </c>
      <c r="F19" s="11">
        <v>1499</v>
      </c>
      <c r="G19" s="11">
        <v>1404</v>
      </c>
      <c r="H19" s="11">
        <v>1190</v>
      </c>
      <c r="I19" s="11">
        <v>1209</v>
      </c>
      <c r="J19" s="11">
        <v>1191</v>
      </c>
      <c r="K19" s="11">
        <v>3447</v>
      </c>
    </row>
    <row r="20" spans="1:11" ht="15" customHeight="1" outlineLevel="2" x14ac:dyDescent="0.3">
      <c r="A20" s="16" t="s">
        <v>22</v>
      </c>
      <c r="B20" s="15">
        <v>5353</v>
      </c>
      <c r="C20" s="15">
        <v>5263</v>
      </c>
      <c r="D20" s="15">
        <v>5728</v>
      </c>
      <c r="E20" s="15">
        <v>4908</v>
      </c>
      <c r="F20" s="15">
        <v>5366</v>
      </c>
      <c r="G20" s="15">
        <v>5098</v>
      </c>
      <c r="H20" s="15">
        <v>4382</v>
      </c>
      <c r="I20" s="15">
        <v>4414</v>
      </c>
      <c r="J20" s="15">
        <v>4666</v>
      </c>
      <c r="K20" s="15">
        <v>13344</v>
      </c>
    </row>
    <row r="21" spans="1:11" ht="15" customHeight="1" x14ac:dyDescent="0.3">
      <c r="A21" s="6" t="s">
        <v>23</v>
      </c>
      <c r="B21" s="7">
        <v>4151</v>
      </c>
      <c r="C21" s="7">
        <v>4343</v>
      </c>
      <c r="D21" s="7">
        <v>5493</v>
      </c>
      <c r="E21" s="7">
        <v>3855</v>
      </c>
      <c r="F21" s="7">
        <v>3807</v>
      </c>
      <c r="G21" s="7">
        <v>3764</v>
      </c>
      <c r="H21" s="7">
        <v>4196</v>
      </c>
      <c r="I21" s="7">
        <v>3423</v>
      </c>
      <c r="J21" s="7">
        <v>3141</v>
      </c>
      <c r="K21" s="7">
        <v>8916</v>
      </c>
    </row>
    <row r="22" spans="1:11" ht="15" customHeight="1" outlineLevel="1" x14ac:dyDescent="0.3">
      <c r="A22" s="8" t="s">
        <v>24</v>
      </c>
      <c r="B22" s="9">
        <v>198</v>
      </c>
      <c r="C22" s="9">
        <v>862</v>
      </c>
      <c r="D22" s="9">
        <v>417</v>
      </c>
      <c r="E22" s="9">
        <v>102</v>
      </c>
      <c r="F22" s="9">
        <v>-627</v>
      </c>
      <c r="G22" s="9">
        <v>-84</v>
      </c>
      <c r="H22" s="9">
        <v>-95</v>
      </c>
      <c r="I22" s="9">
        <v>863</v>
      </c>
      <c r="J22" s="9">
        <v>329</v>
      </c>
      <c r="K22" s="9">
        <v>-441</v>
      </c>
    </row>
    <row r="23" spans="1:11" ht="15" customHeight="1" outlineLevel="2" x14ac:dyDescent="0.3">
      <c r="A23" s="10" t="s">
        <v>25</v>
      </c>
      <c r="B23" s="11">
        <v>67</v>
      </c>
      <c r="C23" s="11">
        <v>46</v>
      </c>
      <c r="D23" s="11">
        <v>31</v>
      </c>
      <c r="E23" s="11">
        <v>40</v>
      </c>
      <c r="F23" s="11">
        <v>80</v>
      </c>
      <c r="G23" s="11">
        <v>116</v>
      </c>
      <c r="H23" s="11">
        <v>66</v>
      </c>
      <c r="I23" s="11">
        <v>24</v>
      </c>
      <c r="J23" s="11">
        <v>75</v>
      </c>
      <c r="K23" s="11">
        <v>136</v>
      </c>
    </row>
    <row r="24" spans="1:11" ht="15" customHeight="1" outlineLevel="2" x14ac:dyDescent="0.3">
      <c r="A24" s="16" t="s">
        <v>26</v>
      </c>
      <c r="B24" s="15">
        <v>131</v>
      </c>
      <c r="C24" s="15">
        <v>816</v>
      </c>
      <c r="D24" s="15">
        <v>386</v>
      </c>
      <c r="E24" s="15">
        <v>62</v>
      </c>
      <c r="F24" s="17">
        <v>-707</v>
      </c>
      <c r="G24" s="17">
        <v>-200</v>
      </c>
      <c r="H24" s="17">
        <v>-161</v>
      </c>
      <c r="I24" s="15">
        <v>839</v>
      </c>
      <c r="J24" s="15">
        <v>254</v>
      </c>
      <c r="K24" s="17">
        <v>-577</v>
      </c>
    </row>
    <row r="25" spans="1:11" ht="15" customHeight="1" outlineLevel="1" x14ac:dyDescent="0.3">
      <c r="A25" s="18" t="s">
        <v>27</v>
      </c>
      <c r="B25" s="7">
        <v>684</v>
      </c>
      <c r="C25" s="7">
        <v>359</v>
      </c>
      <c r="D25" s="7">
        <v>254</v>
      </c>
      <c r="E25" s="7">
        <v>239</v>
      </c>
      <c r="F25" s="7">
        <v>242</v>
      </c>
      <c r="G25" s="7">
        <v>312</v>
      </c>
      <c r="H25" s="7">
        <v>309</v>
      </c>
      <c r="I25" s="7">
        <v>273</v>
      </c>
      <c r="J25" s="7">
        <v>167</v>
      </c>
      <c r="K25" s="7">
        <v>344</v>
      </c>
    </row>
    <row r="26" spans="1:11" ht="15" customHeight="1" outlineLevel="2" x14ac:dyDescent="0.3">
      <c r="A26" s="16" t="s">
        <v>28</v>
      </c>
      <c r="B26" s="15">
        <v>684</v>
      </c>
      <c r="C26" s="15">
        <v>359</v>
      </c>
      <c r="D26" s="15">
        <v>254</v>
      </c>
      <c r="E26" s="15">
        <v>239</v>
      </c>
      <c r="F26" s="15">
        <v>242</v>
      </c>
      <c r="G26" s="15">
        <v>312</v>
      </c>
      <c r="H26" s="15">
        <v>309</v>
      </c>
      <c r="I26" s="15">
        <v>273</v>
      </c>
      <c r="J26" s="15">
        <v>167</v>
      </c>
      <c r="K26" s="15">
        <v>344</v>
      </c>
    </row>
    <row r="27" spans="1:11" ht="15" customHeight="1" outlineLevel="1" x14ac:dyDescent="0.3">
      <c r="A27" s="18" t="s">
        <v>29</v>
      </c>
      <c r="B27" s="7">
        <v>728</v>
      </c>
      <c r="C27" s="7">
        <v>522</v>
      </c>
      <c r="D27" s="7">
        <v>-1912</v>
      </c>
      <c r="E27" s="7">
        <v>487</v>
      </c>
      <c r="F27" s="7">
        <v>415</v>
      </c>
      <c r="G27" s="7">
        <v>355</v>
      </c>
      <c r="H27" s="7">
        <v>516</v>
      </c>
      <c r="I27" s="7">
        <v>252</v>
      </c>
      <c r="J27" s="7">
        <v>-229</v>
      </c>
      <c r="K27" s="7">
        <v>1574</v>
      </c>
    </row>
    <row r="28" spans="1:11" ht="15" customHeight="1" outlineLevel="2" x14ac:dyDescent="0.3">
      <c r="A28" s="16" t="s">
        <v>30</v>
      </c>
      <c r="B28" s="15">
        <v>767</v>
      </c>
      <c r="C28" s="15">
        <v>536</v>
      </c>
      <c r="D28" s="15">
        <v>319</v>
      </c>
      <c r="E28" s="15">
        <v>478</v>
      </c>
      <c r="F28" s="15">
        <v>310</v>
      </c>
      <c r="G28" s="15">
        <v>255</v>
      </c>
      <c r="H28" s="15">
        <v>487</v>
      </c>
      <c r="I28" s="15">
        <v>212</v>
      </c>
      <c r="J28" s="15">
        <v>63</v>
      </c>
      <c r="K28" s="15">
        <v>1630</v>
      </c>
    </row>
    <row r="29" spans="1:11" ht="15" customHeight="1" outlineLevel="2" x14ac:dyDescent="0.3">
      <c r="A29" s="10" t="s">
        <v>31</v>
      </c>
      <c r="B29" s="11">
        <v>0</v>
      </c>
      <c r="C29" s="11">
        <v>0</v>
      </c>
      <c r="D29" s="20">
        <v>-2304</v>
      </c>
      <c r="E29" s="19"/>
      <c r="F29" s="19"/>
      <c r="G29" s="19"/>
      <c r="H29" s="19"/>
      <c r="I29" s="19"/>
      <c r="J29" s="19"/>
      <c r="K29" s="19"/>
    </row>
    <row r="30" spans="1:11" ht="15" customHeight="1" outlineLevel="2" x14ac:dyDescent="0.3">
      <c r="A30" s="12" t="s">
        <v>32</v>
      </c>
      <c r="B30" s="9">
        <v>-68</v>
      </c>
      <c r="C30" s="9">
        <v>37</v>
      </c>
      <c r="D30" s="9">
        <v>-57</v>
      </c>
      <c r="E30" s="9">
        <v>31</v>
      </c>
      <c r="F30" s="9">
        <v>-105</v>
      </c>
      <c r="G30" s="9">
        <v>26</v>
      </c>
      <c r="H30" s="9">
        <v>-29</v>
      </c>
      <c r="I30" s="9">
        <v>-40</v>
      </c>
      <c r="J30" s="9">
        <v>292</v>
      </c>
      <c r="K30" s="9">
        <v>56</v>
      </c>
    </row>
    <row r="31" spans="1:11" ht="15" customHeight="1" outlineLevel="3" x14ac:dyDescent="0.3">
      <c r="A31" s="13" t="s">
        <v>33</v>
      </c>
      <c r="B31" s="20">
        <v>-68</v>
      </c>
      <c r="C31" s="11">
        <v>37</v>
      </c>
      <c r="D31" s="20">
        <v>-57</v>
      </c>
      <c r="E31" s="11">
        <v>31</v>
      </c>
      <c r="F31" s="20">
        <v>-105</v>
      </c>
      <c r="G31" s="11">
        <v>26</v>
      </c>
      <c r="H31" s="20">
        <v>-29</v>
      </c>
      <c r="I31" s="20">
        <v>-40</v>
      </c>
      <c r="J31" s="11">
        <v>292</v>
      </c>
      <c r="K31" s="11">
        <v>56</v>
      </c>
    </row>
    <row r="32" spans="1:11" ht="15" customHeight="1" outlineLevel="2" x14ac:dyDescent="0.3">
      <c r="A32" s="12" t="s">
        <v>34</v>
      </c>
      <c r="B32" s="9">
        <v>-107</v>
      </c>
      <c r="C32" s="9">
        <v>23</v>
      </c>
      <c r="D32" s="9">
        <v>16</v>
      </c>
      <c r="E32" s="9">
        <v>40</v>
      </c>
      <c r="F32" s="9">
        <v>0</v>
      </c>
      <c r="G32" s="9">
        <v>126</v>
      </c>
      <c r="H32" s="21"/>
      <c r="I32" s="21"/>
      <c r="J32" s="21"/>
      <c r="K32" s="21"/>
    </row>
    <row r="33" spans="1:11" ht="15" customHeight="1" outlineLevel="3" x14ac:dyDescent="0.3">
      <c r="A33" s="13" t="s">
        <v>35</v>
      </c>
      <c r="B33" s="20">
        <v>-107</v>
      </c>
      <c r="C33" s="11">
        <v>0</v>
      </c>
      <c r="D33" s="11">
        <v>16</v>
      </c>
      <c r="E33" s="11">
        <v>40</v>
      </c>
      <c r="F33" s="11">
        <v>0</v>
      </c>
      <c r="G33" s="11">
        <v>126</v>
      </c>
      <c r="H33" s="19"/>
      <c r="I33" s="19"/>
      <c r="J33" s="19"/>
      <c r="K33" s="19"/>
    </row>
    <row r="34" spans="1:11" ht="15" customHeight="1" outlineLevel="3" x14ac:dyDescent="0.3">
      <c r="A34" s="14" t="s">
        <v>36</v>
      </c>
      <c r="B34" s="15">
        <v>0</v>
      </c>
      <c r="C34" s="15">
        <v>23</v>
      </c>
      <c r="D34" s="15">
        <v>0</v>
      </c>
      <c r="E34" s="22"/>
      <c r="F34" s="22"/>
      <c r="G34" s="22"/>
      <c r="H34" s="22"/>
      <c r="I34" s="22"/>
      <c r="J34" s="22"/>
      <c r="K34" s="22"/>
    </row>
    <row r="35" spans="1:11" ht="15" customHeight="1" x14ac:dyDescent="0.3">
      <c r="A35" s="6" t="s">
        <v>37</v>
      </c>
      <c r="B35" s="7">
        <v>2937</v>
      </c>
      <c r="C35" s="7">
        <v>4324</v>
      </c>
      <c r="D35" s="7">
        <v>7568</v>
      </c>
      <c r="E35" s="7">
        <v>3231</v>
      </c>
      <c r="F35" s="7">
        <v>2523</v>
      </c>
      <c r="G35" s="7">
        <v>3013</v>
      </c>
      <c r="H35" s="7">
        <v>3276</v>
      </c>
      <c r="I35" s="7">
        <v>3761</v>
      </c>
      <c r="J35" s="7">
        <v>3532</v>
      </c>
      <c r="K35" s="7">
        <v>6557</v>
      </c>
    </row>
    <row r="36" spans="1:11" ht="15" customHeight="1" outlineLevel="1" x14ac:dyDescent="0.3">
      <c r="A36" s="8" t="s">
        <v>38</v>
      </c>
      <c r="B36" s="9">
        <v>-326</v>
      </c>
      <c r="C36" s="9">
        <v>1192</v>
      </c>
      <c r="D36" s="9">
        <v>1027</v>
      </c>
      <c r="E36" s="9">
        <v>387</v>
      </c>
      <c r="F36" s="9">
        <v>-629</v>
      </c>
      <c r="G36" s="9">
        <v>-2314</v>
      </c>
      <c r="H36" s="9">
        <v>750</v>
      </c>
      <c r="I36" s="9">
        <v>1095</v>
      </c>
      <c r="J36" s="9">
        <v>-186</v>
      </c>
      <c r="K36" s="9">
        <v>1544</v>
      </c>
    </row>
    <row r="37" spans="1:11" ht="15" customHeight="1" outlineLevel="2" x14ac:dyDescent="0.3">
      <c r="A37" s="10" t="s">
        <v>39</v>
      </c>
      <c r="B37" s="11">
        <v>268</v>
      </c>
      <c r="C37" s="11">
        <v>281</v>
      </c>
      <c r="D37" s="11">
        <v>1112</v>
      </c>
      <c r="E37" s="20">
        <v>-1</v>
      </c>
      <c r="F37" s="20">
        <v>-1147</v>
      </c>
      <c r="G37" s="11">
        <v>812</v>
      </c>
      <c r="H37" s="11">
        <v>209</v>
      </c>
      <c r="I37" s="11">
        <v>404</v>
      </c>
      <c r="J37" s="20">
        <v>-1844</v>
      </c>
      <c r="K37" s="11">
        <v>593</v>
      </c>
    </row>
    <row r="38" spans="1:11" ht="15" customHeight="1" outlineLevel="2" x14ac:dyDescent="0.3">
      <c r="A38" s="16" t="s">
        <v>40</v>
      </c>
      <c r="B38" s="15">
        <v>337</v>
      </c>
      <c r="C38" s="15">
        <v>338</v>
      </c>
      <c r="D38" s="15">
        <v>498</v>
      </c>
      <c r="E38" s="15">
        <v>319</v>
      </c>
      <c r="F38" s="15">
        <v>386</v>
      </c>
      <c r="G38" s="15">
        <v>528</v>
      </c>
      <c r="H38" s="15">
        <v>302</v>
      </c>
      <c r="I38" s="15">
        <v>288</v>
      </c>
      <c r="J38" s="15">
        <v>431</v>
      </c>
      <c r="K38" s="15">
        <v>984</v>
      </c>
    </row>
    <row r="39" spans="1:11" ht="15" customHeight="1" outlineLevel="2" x14ac:dyDescent="0.3">
      <c r="A39" s="10" t="s">
        <v>41</v>
      </c>
      <c r="B39" s="20">
        <v>-626</v>
      </c>
      <c r="C39" s="11">
        <v>70</v>
      </c>
      <c r="D39" s="20">
        <v>-458</v>
      </c>
      <c r="E39" s="20">
        <v>-95</v>
      </c>
      <c r="F39" s="11">
        <v>135</v>
      </c>
      <c r="G39" s="20">
        <v>-3091</v>
      </c>
      <c r="H39" s="11">
        <v>235</v>
      </c>
      <c r="I39" s="11">
        <v>526</v>
      </c>
      <c r="J39" s="11">
        <v>1151</v>
      </c>
      <c r="K39" s="11">
        <v>9</v>
      </c>
    </row>
    <row r="40" spans="1:11" ht="15" customHeight="1" outlineLevel="2" x14ac:dyDescent="0.3">
      <c r="A40" s="16" t="s">
        <v>42</v>
      </c>
      <c r="B40" s="17">
        <v>-305</v>
      </c>
      <c r="C40" s="15">
        <v>503</v>
      </c>
      <c r="D40" s="17">
        <v>-125</v>
      </c>
      <c r="E40" s="15">
        <v>164</v>
      </c>
      <c r="F40" s="17">
        <v>-3</v>
      </c>
      <c r="G40" s="17">
        <v>-563</v>
      </c>
      <c r="H40" s="15">
        <v>4</v>
      </c>
      <c r="I40" s="17">
        <v>-123</v>
      </c>
      <c r="J40" s="15">
        <v>76</v>
      </c>
      <c r="K40" s="17">
        <v>-42</v>
      </c>
    </row>
    <row r="41" spans="1:11" ht="15" customHeight="1" x14ac:dyDescent="0.3">
      <c r="A41" s="19" t="s">
        <v>43</v>
      </c>
      <c r="B41" s="11">
        <v>3263</v>
      </c>
      <c r="C41" s="11">
        <v>3132</v>
      </c>
      <c r="D41" s="11">
        <v>6541</v>
      </c>
      <c r="E41" s="11">
        <v>2844</v>
      </c>
      <c r="F41" s="11">
        <v>3152</v>
      </c>
      <c r="G41" s="11">
        <v>5327</v>
      </c>
      <c r="H41" s="11">
        <v>2526</v>
      </c>
      <c r="I41" s="11">
        <v>2666</v>
      </c>
      <c r="J41" s="11">
        <v>3718</v>
      </c>
      <c r="K41" s="11">
        <v>5013</v>
      </c>
    </row>
    <row r="42" spans="1:11" ht="15" customHeight="1" x14ac:dyDescent="0.3">
      <c r="A42" s="21" t="s">
        <v>44</v>
      </c>
      <c r="B42" s="9">
        <v>3263</v>
      </c>
      <c r="C42" s="9">
        <v>3132</v>
      </c>
      <c r="D42" s="9">
        <v>6541</v>
      </c>
      <c r="E42" s="9">
        <v>2844</v>
      </c>
      <c r="F42" s="9">
        <v>3152</v>
      </c>
      <c r="G42" s="9">
        <v>5327</v>
      </c>
      <c r="H42" s="9">
        <v>2526</v>
      </c>
      <c r="I42" s="9">
        <v>2666</v>
      </c>
      <c r="J42" s="9">
        <v>3718</v>
      </c>
      <c r="K42" s="9">
        <v>5013</v>
      </c>
    </row>
    <row r="43" spans="1:11" ht="15" customHeight="1" outlineLevel="1" x14ac:dyDescent="0.3">
      <c r="A43" s="23" t="s">
        <v>45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20">
        <v>-170</v>
      </c>
      <c r="J43" s="11">
        <v>836</v>
      </c>
      <c r="K43" s="11">
        <v>0</v>
      </c>
    </row>
    <row r="44" spans="1:11" ht="15" customHeight="1" outlineLevel="1" x14ac:dyDescent="0.3">
      <c r="A44" s="24" t="s">
        <v>46</v>
      </c>
      <c r="B44" s="15">
        <v>3263</v>
      </c>
      <c r="C44" s="15">
        <v>3132</v>
      </c>
      <c r="D44" s="15">
        <v>6541</v>
      </c>
      <c r="E44" s="15">
        <v>2844</v>
      </c>
      <c r="F44" s="15">
        <v>3152</v>
      </c>
      <c r="G44" s="15">
        <v>5327</v>
      </c>
      <c r="H44" s="15">
        <v>2526</v>
      </c>
      <c r="I44" s="15">
        <v>2496</v>
      </c>
      <c r="J44" s="15">
        <v>4554</v>
      </c>
      <c r="K44" s="15">
        <v>5013</v>
      </c>
    </row>
    <row r="45" spans="1:11" ht="15" customHeight="1" x14ac:dyDescent="0.3">
      <c r="A45" s="6" t="s">
        <v>47</v>
      </c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ht="15" customHeight="1" outlineLevel="1" x14ac:dyDescent="0.3">
      <c r="A46" s="8" t="s">
        <v>48</v>
      </c>
      <c r="B46" s="25">
        <v>3.7726000000000002</v>
      </c>
      <c r="C46" s="25">
        <v>3.330857</v>
      </c>
      <c r="D46" s="25">
        <v>4.2644260000000003</v>
      </c>
      <c r="E46" s="25">
        <v>2.2428870000000001</v>
      </c>
      <c r="F46" s="25">
        <v>2.258858</v>
      </c>
      <c r="G46" s="25">
        <v>3.4121790000000001</v>
      </c>
      <c r="H46" s="25">
        <v>1.6963569999999999</v>
      </c>
      <c r="I46" s="25">
        <v>1.5332190000000001</v>
      </c>
      <c r="J46" s="25">
        <v>2.3930829999999998</v>
      </c>
      <c r="K46" s="25">
        <v>3.1981169999999999</v>
      </c>
    </row>
    <row r="47" spans="1:11" ht="15" customHeight="1" outlineLevel="2" x14ac:dyDescent="0.3">
      <c r="A47" s="10" t="s">
        <v>49</v>
      </c>
      <c r="B47" s="26">
        <v>992</v>
      </c>
      <c r="C47" s="26">
        <v>1038</v>
      </c>
      <c r="D47" s="26">
        <v>1208</v>
      </c>
      <c r="E47" s="26">
        <v>1413</v>
      </c>
      <c r="F47" s="26">
        <v>1515</v>
      </c>
      <c r="G47" s="26">
        <v>1615</v>
      </c>
      <c r="H47" s="26">
        <v>1688</v>
      </c>
      <c r="I47" s="26">
        <v>1730</v>
      </c>
      <c r="J47" s="26">
        <v>1814</v>
      </c>
      <c r="K47" s="26">
        <v>1882</v>
      </c>
    </row>
    <row r="48" spans="1:11" ht="15" customHeight="1" outlineLevel="2" x14ac:dyDescent="0.3">
      <c r="A48" s="16" t="s">
        <v>50</v>
      </c>
      <c r="B48" s="27">
        <v>989</v>
      </c>
      <c r="C48" s="27">
        <v>979.86900000000003</v>
      </c>
      <c r="D48" s="27">
        <v>1092.2049999999999</v>
      </c>
      <c r="E48" s="27">
        <v>1303.9269999999999</v>
      </c>
      <c r="F48" s="27">
        <v>1458</v>
      </c>
      <c r="G48" s="27">
        <v>1560</v>
      </c>
      <c r="H48" s="27">
        <v>1650</v>
      </c>
      <c r="I48" s="27">
        <v>1712</v>
      </c>
      <c r="J48" s="27">
        <v>1804</v>
      </c>
      <c r="K48" s="27">
        <v>1839</v>
      </c>
    </row>
    <row r="49" spans="1:11" ht="15" customHeight="1" outlineLevel="1" x14ac:dyDescent="0.3">
      <c r="A49" s="18" t="s">
        <v>51</v>
      </c>
      <c r="B49" s="28">
        <v>3.2629999999999999</v>
      </c>
      <c r="C49" s="28">
        <v>2.9828999999999999</v>
      </c>
      <c r="D49" s="28">
        <v>5.3615000000000004</v>
      </c>
      <c r="E49" s="28">
        <v>2.0028000000000001</v>
      </c>
      <c r="F49" s="28">
        <v>2.0682</v>
      </c>
      <c r="G49" s="28">
        <v>3.2601</v>
      </c>
      <c r="H49" s="28">
        <v>1.48</v>
      </c>
      <c r="I49" s="28">
        <v>1.43</v>
      </c>
      <c r="J49" s="28">
        <v>2.48</v>
      </c>
      <c r="K49" s="28">
        <v>2.62</v>
      </c>
    </row>
    <row r="50" spans="1:11" ht="15" customHeight="1" outlineLevel="2" x14ac:dyDescent="0.3">
      <c r="A50" s="16" t="s">
        <v>52</v>
      </c>
      <c r="B50" s="27">
        <v>1000</v>
      </c>
      <c r="C50" s="27">
        <v>1050</v>
      </c>
      <c r="D50" s="27">
        <v>1220</v>
      </c>
      <c r="E50" s="27">
        <v>1420</v>
      </c>
      <c r="F50" s="27">
        <v>1524</v>
      </c>
      <c r="G50" s="27">
        <v>1634</v>
      </c>
      <c r="H50" s="27">
        <v>1702</v>
      </c>
      <c r="I50" s="27">
        <v>1743</v>
      </c>
      <c r="J50" s="27">
        <v>1836</v>
      </c>
      <c r="K50" s="27">
        <v>1912</v>
      </c>
    </row>
    <row r="51" spans="1:11" ht="15" customHeight="1" outlineLevel="2" x14ac:dyDescent="0.3">
      <c r="A51" s="10" t="s">
        <v>50</v>
      </c>
      <c r="B51" s="26">
        <v>989</v>
      </c>
      <c r="C51" s="26">
        <v>979.86900000000003</v>
      </c>
      <c r="D51" s="26">
        <v>1092.2049999999999</v>
      </c>
      <c r="E51" s="26">
        <v>1303.9269999999999</v>
      </c>
      <c r="F51" s="26">
        <v>1458</v>
      </c>
      <c r="G51" s="26">
        <v>1560</v>
      </c>
      <c r="H51" s="26">
        <v>1650</v>
      </c>
      <c r="I51" s="26">
        <v>1712</v>
      </c>
      <c r="J51" s="26">
        <v>1804</v>
      </c>
      <c r="K51" s="26">
        <v>1839</v>
      </c>
    </row>
    <row r="52" spans="1:11" ht="15" customHeight="1" outlineLevel="1" x14ac:dyDescent="0.3">
      <c r="A52" s="24" t="s">
        <v>53</v>
      </c>
      <c r="B52" s="27">
        <v>89.117999999999995</v>
      </c>
      <c r="C52" s="27">
        <v>60.886000000000003</v>
      </c>
      <c r="D52" s="27">
        <v>41.454000000000001</v>
      </c>
      <c r="E52" s="27">
        <v>30.977</v>
      </c>
      <c r="F52" s="27">
        <v>49.991</v>
      </c>
      <c r="G52" s="27">
        <v>47.521999999999998</v>
      </c>
      <c r="H52" s="27">
        <v>81.86</v>
      </c>
      <c r="I52" s="27">
        <v>43.527999999999999</v>
      </c>
      <c r="J52" s="27">
        <v>85.921999999999997</v>
      </c>
      <c r="K52" s="27">
        <v>80.072000000000003</v>
      </c>
    </row>
    <row r="53" spans="1:11" ht="15" customHeight="1" outlineLevel="1" x14ac:dyDescent="0.3">
      <c r="A53" s="18" t="s">
        <v>54</v>
      </c>
      <c r="B53" s="28">
        <v>1.05</v>
      </c>
      <c r="C53" s="28">
        <v>1</v>
      </c>
      <c r="D53" s="28">
        <v>0.7752</v>
      </c>
      <c r="E53" s="28">
        <v>0.70479999999999998</v>
      </c>
      <c r="F53" s="28">
        <v>0.64080000000000004</v>
      </c>
      <c r="G53" s="28">
        <v>0.55720000000000003</v>
      </c>
      <c r="H53" s="28">
        <v>0.53080000000000005</v>
      </c>
      <c r="I53" s="28">
        <v>0.496</v>
      </c>
      <c r="J53" s="28">
        <v>0.67200000000000004</v>
      </c>
      <c r="K53" s="28">
        <v>0.61040000000000005</v>
      </c>
    </row>
    <row r="54" spans="1:11" ht="15" customHeight="1" outlineLevel="2" x14ac:dyDescent="0.3">
      <c r="A54" s="16" t="s">
        <v>55</v>
      </c>
      <c r="B54" s="27">
        <v>32.178975999999999</v>
      </c>
      <c r="C54" s="27">
        <v>33.524422999999999</v>
      </c>
      <c r="D54" s="27">
        <v>14.458640000000001</v>
      </c>
      <c r="E54" s="27">
        <v>35.190733000000002</v>
      </c>
      <c r="F54" s="27">
        <v>30.983464000000001</v>
      </c>
      <c r="G54" s="27">
        <v>17.0915</v>
      </c>
      <c r="H54" s="27">
        <v>35.864865000000002</v>
      </c>
      <c r="I54" s="27">
        <v>34.685315000000003</v>
      </c>
      <c r="J54" s="27">
        <v>27.096774</v>
      </c>
      <c r="K54" s="27">
        <v>23.297709999999999</v>
      </c>
    </row>
    <row r="55" spans="1:11" ht="15" customHeight="1" x14ac:dyDescent="0.3">
      <c r="A55" s="6" t="s">
        <v>56</v>
      </c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ht="15" customHeight="1" outlineLevel="1" x14ac:dyDescent="0.3">
      <c r="A56" s="8" t="s">
        <v>56</v>
      </c>
      <c r="B56" s="9">
        <v>4992</v>
      </c>
      <c r="C56" s="9">
        <v>5113</v>
      </c>
      <c r="D56" s="9">
        <v>6274</v>
      </c>
      <c r="E56" s="9">
        <v>4641</v>
      </c>
      <c r="F56" s="9">
        <v>4546</v>
      </c>
      <c r="G56" s="9">
        <v>4292</v>
      </c>
      <c r="H56" s="9">
        <v>4550</v>
      </c>
      <c r="I56" s="9">
        <v>3755</v>
      </c>
      <c r="J56" s="9">
        <v>7202</v>
      </c>
      <c r="K56" s="9">
        <v>13250</v>
      </c>
    </row>
    <row r="57" spans="1:11" ht="15" customHeight="1" outlineLevel="2" x14ac:dyDescent="0.3">
      <c r="A57" s="10" t="s">
        <v>57</v>
      </c>
      <c r="B57" s="11">
        <v>4151</v>
      </c>
      <c r="C57" s="11">
        <v>4343</v>
      </c>
      <c r="D57" s="11">
        <v>5493</v>
      </c>
      <c r="E57" s="11">
        <v>3855</v>
      </c>
      <c r="F57" s="11">
        <v>3807</v>
      </c>
      <c r="G57" s="11">
        <v>3764</v>
      </c>
      <c r="H57" s="11">
        <v>4196</v>
      </c>
      <c r="I57" s="11">
        <v>3423</v>
      </c>
      <c r="J57" s="11">
        <v>3141</v>
      </c>
      <c r="K57" s="11">
        <v>8916</v>
      </c>
    </row>
    <row r="58" spans="1:11" ht="15" customHeight="1" outlineLevel="2" x14ac:dyDescent="0.3">
      <c r="A58" s="16" t="s">
        <v>16</v>
      </c>
      <c r="B58" s="15">
        <v>841</v>
      </c>
      <c r="C58" s="15">
        <v>770</v>
      </c>
      <c r="D58" s="15">
        <v>781</v>
      </c>
      <c r="E58" s="15">
        <v>786</v>
      </c>
      <c r="F58" s="15">
        <v>739</v>
      </c>
      <c r="G58" s="15">
        <v>528</v>
      </c>
      <c r="H58" s="15">
        <v>354</v>
      </c>
      <c r="I58" s="15">
        <v>332</v>
      </c>
      <c r="J58" s="15">
        <v>4061</v>
      </c>
      <c r="K58" s="15">
        <v>4334</v>
      </c>
    </row>
    <row r="59" spans="1:11" ht="15" customHeight="1" x14ac:dyDescent="0.3">
      <c r="A59" s="29" t="s">
        <v>58</v>
      </c>
    </row>
  </sheetData>
  <phoneticPr fontId="1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40D3D-3095-4EEF-9459-0530DBD8C972}">
  <dimension ref="A1:K11"/>
  <sheetViews>
    <sheetView workbookViewId="0">
      <selection activeCell="H9" sqref="H9"/>
    </sheetView>
  </sheetViews>
  <sheetFormatPr defaultRowHeight="14" x14ac:dyDescent="0.3"/>
  <sheetData>
    <row r="1" spans="1:11" x14ac:dyDescent="0.3">
      <c r="A1" s="35" t="s">
        <v>75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3">
      <c r="A2" s="34" t="s">
        <v>76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3">
      <c r="A3" s="36"/>
      <c r="B3" s="36" t="s">
        <v>77</v>
      </c>
      <c r="C3" s="36" t="s">
        <v>78</v>
      </c>
      <c r="D3" s="36" t="s">
        <v>79</v>
      </c>
      <c r="E3" s="36" t="s">
        <v>80</v>
      </c>
      <c r="F3" s="36" t="s">
        <v>81</v>
      </c>
      <c r="G3" s="36" t="s">
        <v>82</v>
      </c>
      <c r="H3" s="36" t="s">
        <v>83</v>
      </c>
      <c r="I3" s="36" t="s">
        <v>84</v>
      </c>
      <c r="J3" s="36" t="s">
        <v>85</v>
      </c>
      <c r="K3" s="36" t="s">
        <v>86</v>
      </c>
    </row>
    <row r="4" spans="1:11" x14ac:dyDescent="0.3">
      <c r="A4" s="37" t="s">
        <v>13</v>
      </c>
      <c r="B4" s="38">
        <v>58756</v>
      </c>
      <c r="C4" s="38">
        <v>56639</v>
      </c>
      <c r="D4" s="38">
        <v>63487</v>
      </c>
      <c r="E4" s="38">
        <v>62983</v>
      </c>
      <c r="F4" s="38">
        <v>53718</v>
      </c>
      <c r="G4" s="38">
        <v>53664.800000000003</v>
      </c>
      <c r="H4" s="38">
        <v>55617.9</v>
      </c>
      <c r="I4" s="38">
        <v>57317.2</v>
      </c>
      <c r="J4" s="37" t="s">
        <v>87</v>
      </c>
      <c r="K4" s="37" t="s">
        <v>87</v>
      </c>
    </row>
    <row r="5" spans="1:11" x14ac:dyDescent="0.3">
      <c r="A5" s="39" t="s">
        <v>88</v>
      </c>
      <c r="B5" s="40">
        <v>47586</v>
      </c>
      <c r="C5" s="40">
        <v>46202</v>
      </c>
      <c r="D5" s="40">
        <v>50070</v>
      </c>
      <c r="E5" s="40">
        <v>50648</v>
      </c>
      <c r="F5" s="40">
        <v>42210</v>
      </c>
      <c r="G5" s="40">
        <v>42202.6</v>
      </c>
      <c r="H5" s="40">
        <v>44133.3</v>
      </c>
      <c r="I5" s="40">
        <v>45693</v>
      </c>
      <c r="J5" s="39" t="s">
        <v>87</v>
      </c>
      <c r="K5" s="39" t="s">
        <v>87</v>
      </c>
    </row>
    <row r="6" spans="1:11" x14ac:dyDescent="0.3">
      <c r="A6" s="37" t="s">
        <v>19</v>
      </c>
      <c r="B6" s="38">
        <v>11170</v>
      </c>
      <c r="C6" s="38">
        <v>10437</v>
      </c>
      <c r="D6" s="38">
        <v>13417</v>
      </c>
      <c r="E6" s="38">
        <v>12335</v>
      </c>
      <c r="F6" s="38">
        <v>11508</v>
      </c>
      <c r="G6" s="38">
        <v>11553.6</v>
      </c>
      <c r="H6" s="38">
        <v>11653.8</v>
      </c>
      <c r="I6" s="38">
        <v>11453</v>
      </c>
      <c r="J6" s="37" t="s">
        <v>87</v>
      </c>
      <c r="K6" s="37" t="s">
        <v>87</v>
      </c>
    </row>
    <row r="7" spans="1:11" x14ac:dyDescent="0.3">
      <c r="A7" s="39" t="s">
        <v>56</v>
      </c>
      <c r="B7" s="40">
        <v>5047</v>
      </c>
      <c r="C7" s="40">
        <v>4842</v>
      </c>
      <c r="D7" s="40">
        <v>6554</v>
      </c>
      <c r="E7" s="40">
        <v>6153.5</v>
      </c>
      <c r="F7" s="40">
        <v>5073</v>
      </c>
      <c r="G7" s="40">
        <v>5287.28</v>
      </c>
      <c r="H7" s="40">
        <v>5316.58</v>
      </c>
      <c r="I7" s="40">
        <v>5289.45</v>
      </c>
      <c r="J7" s="39" t="s">
        <v>87</v>
      </c>
      <c r="K7" s="39" t="s">
        <v>87</v>
      </c>
    </row>
    <row r="8" spans="1:11" x14ac:dyDescent="0.3">
      <c r="A8" s="37" t="s">
        <v>89</v>
      </c>
      <c r="B8" s="38">
        <v>4303</v>
      </c>
      <c r="C8" s="38">
        <v>4053</v>
      </c>
      <c r="D8" s="38">
        <v>5769</v>
      </c>
      <c r="E8" s="38">
        <v>5478</v>
      </c>
      <c r="F8" s="38">
        <v>4572.4399999999996</v>
      </c>
      <c r="G8" s="38">
        <v>4598.3100000000004</v>
      </c>
      <c r="H8" s="38">
        <v>4683.96</v>
      </c>
      <c r="I8" s="38">
        <v>4753.3900000000003</v>
      </c>
      <c r="J8" s="37" t="s">
        <v>87</v>
      </c>
      <c r="K8" s="37" t="s">
        <v>87</v>
      </c>
    </row>
    <row r="9" spans="1:11" x14ac:dyDescent="0.3">
      <c r="A9" s="39" t="s">
        <v>37</v>
      </c>
      <c r="B9" s="40">
        <v>4058.06</v>
      </c>
      <c r="C9" s="40">
        <v>3851</v>
      </c>
      <c r="D9" s="40">
        <v>5500</v>
      </c>
      <c r="E9" s="40">
        <v>5107</v>
      </c>
      <c r="F9" s="40">
        <v>3901.22</v>
      </c>
      <c r="G9" s="40">
        <v>3961.28</v>
      </c>
      <c r="H9" s="40">
        <v>4063.47</v>
      </c>
      <c r="I9" s="40">
        <v>4028.84</v>
      </c>
      <c r="J9" s="39" t="s">
        <v>87</v>
      </c>
      <c r="K9" s="39" t="s">
        <v>87</v>
      </c>
    </row>
    <row r="10" spans="1:11" x14ac:dyDescent="0.3">
      <c r="A10" s="37" t="s">
        <v>90</v>
      </c>
      <c r="B10" s="41">
        <v>-111</v>
      </c>
      <c r="C10" s="38">
        <v>616</v>
      </c>
      <c r="D10" s="38">
        <v>880</v>
      </c>
      <c r="E10" s="38">
        <v>818</v>
      </c>
      <c r="F10" s="38">
        <v>624</v>
      </c>
      <c r="G10" s="38">
        <v>642.93299999999999</v>
      </c>
      <c r="H10" s="38">
        <v>665.52499999999998</v>
      </c>
      <c r="I10" s="37" t="s">
        <v>87</v>
      </c>
      <c r="J10" s="37" t="s">
        <v>87</v>
      </c>
      <c r="K10" s="37" t="s">
        <v>87</v>
      </c>
    </row>
    <row r="11" spans="1:11" x14ac:dyDescent="0.3">
      <c r="A11" s="39" t="s">
        <v>44</v>
      </c>
      <c r="B11" s="40">
        <v>3409</v>
      </c>
      <c r="C11" s="40">
        <v>3234</v>
      </c>
      <c r="D11" s="40">
        <v>4600</v>
      </c>
      <c r="E11" s="40">
        <v>4289</v>
      </c>
      <c r="F11" s="40">
        <v>3277</v>
      </c>
      <c r="G11" s="40">
        <v>3351.47</v>
      </c>
      <c r="H11" s="40">
        <v>3429.24</v>
      </c>
      <c r="I11" s="40">
        <v>3469.64</v>
      </c>
      <c r="J11" s="39" t="s">
        <v>87</v>
      </c>
      <c r="K11" s="39" t="s">
        <v>87</v>
      </c>
    </row>
  </sheetData>
  <phoneticPr fontId="1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A8A1E-BEED-484D-A10C-35783388E620}">
  <dimension ref="A1:K60"/>
  <sheetViews>
    <sheetView topLeftCell="A7" workbookViewId="0">
      <selection activeCell="B20" sqref="B20"/>
    </sheetView>
  </sheetViews>
  <sheetFormatPr defaultRowHeight="14" x14ac:dyDescent="0.3"/>
  <cols>
    <col min="1" max="1" width="50" bestFit="1" customWidth="1"/>
  </cols>
  <sheetData>
    <row r="1" spans="1:11" x14ac:dyDescent="0.3">
      <c r="A1" s="35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x14ac:dyDescent="0.3">
      <c r="A2" s="66" t="s">
        <v>8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5" spans="1:11" x14ac:dyDescent="0.3">
      <c r="A5" s="36" t="s">
        <v>9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x14ac:dyDescent="0.3">
      <c r="A6" s="36" t="s">
        <v>10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x14ac:dyDescent="0.3">
      <c r="A7" s="36" t="s">
        <v>11</v>
      </c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x14ac:dyDescent="0.3">
      <c r="A8" s="36"/>
      <c r="B8" s="5">
        <v>2023</v>
      </c>
      <c r="C8" s="5">
        <v>2022</v>
      </c>
      <c r="D8" s="5">
        <v>2021</v>
      </c>
      <c r="E8" s="5">
        <v>2020</v>
      </c>
      <c r="F8" s="5">
        <v>2019</v>
      </c>
      <c r="G8" s="5">
        <v>2018</v>
      </c>
      <c r="H8" s="5">
        <v>2017</v>
      </c>
      <c r="I8" s="5">
        <v>2016</v>
      </c>
      <c r="J8" s="5">
        <v>2015</v>
      </c>
      <c r="K8" s="5">
        <v>2014</v>
      </c>
    </row>
    <row r="9" spans="1:11" x14ac:dyDescent="0.3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x14ac:dyDescent="0.3">
      <c r="A10" s="36"/>
      <c r="B10" s="36"/>
      <c r="C10" s="36"/>
      <c r="D10" s="36" t="s">
        <v>12</v>
      </c>
      <c r="E10" s="36"/>
      <c r="F10" s="36"/>
      <c r="G10" s="36" t="s">
        <v>12</v>
      </c>
      <c r="H10" s="36"/>
      <c r="I10" s="36" t="s">
        <v>12</v>
      </c>
      <c r="J10" s="36" t="s">
        <v>12</v>
      </c>
      <c r="K10" s="36"/>
    </row>
    <row r="11" spans="1:11" x14ac:dyDescent="0.3">
      <c r="A11" s="44" t="s">
        <v>91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1" x14ac:dyDescent="0.3">
      <c r="A12" s="46" t="s">
        <v>92</v>
      </c>
      <c r="B12" s="38">
        <v>3263</v>
      </c>
      <c r="C12" s="38">
        <v>3132</v>
      </c>
      <c r="D12" s="38">
        <v>6541</v>
      </c>
      <c r="E12" s="38">
        <v>2844</v>
      </c>
      <c r="F12" s="38">
        <v>3152</v>
      </c>
      <c r="G12" s="38">
        <v>5327</v>
      </c>
      <c r="H12" s="38">
        <v>2526</v>
      </c>
      <c r="I12" s="38">
        <v>2496</v>
      </c>
      <c r="J12" s="38">
        <v>4554</v>
      </c>
      <c r="K12" s="38">
        <v>5013</v>
      </c>
    </row>
    <row r="13" spans="1:11" x14ac:dyDescent="0.3">
      <c r="A13" s="47" t="s">
        <v>93</v>
      </c>
      <c r="B13" s="48">
        <v>850</v>
      </c>
      <c r="C13" s="48">
        <v>780</v>
      </c>
      <c r="D13" s="48">
        <v>785</v>
      </c>
      <c r="E13" s="48">
        <v>789</v>
      </c>
      <c r="F13" s="48">
        <v>744</v>
      </c>
      <c r="G13" s="48">
        <v>528</v>
      </c>
      <c r="H13" s="48">
        <v>354</v>
      </c>
      <c r="I13" s="48">
        <v>332</v>
      </c>
      <c r="J13" s="48">
        <v>4061</v>
      </c>
      <c r="K13" s="48">
        <v>4334</v>
      </c>
    </row>
    <row r="14" spans="1:11" x14ac:dyDescent="0.3">
      <c r="A14" s="50" t="s">
        <v>94</v>
      </c>
      <c r="B14" s="38">
        <v>500</v>
      </c>
      <c r="C14" s="38">
        <v>552</v>
      </c>
      <c r="D14" s="38">
        <v>631</v>
      </c>
      <c r="E14" s="38">
        <v>676</v>
      </c>
      <c r="F14" s="37"/>
      <c r="G14" s="38">
        <v>448</v>
      </c>
      <c r="H14" s="38">
        <v>353</v>
      </c>
      <c r="I14" s="38">
        <v>316</v>
      </c>
      <c r="J14" s="38">
        <v>3959</v>
      </c>
      <c r="K14" s="38">
        <v>3334</v>
      </c>
    </row>
    <row r="15" spans="1:11" x14ac:dyDescent="0.3">
      <c r="A15" s="49" t="s">
        <v>95</v>
      </c>
      <c r="B15" s="40">
        <v>350</v>
      </c>
      <c r="C15" s="40">
        <v>228</v>
      </c>
      <c r="D15" s="40">
        <v>154</v>
      </c>
      <c r="E15" s="40">
        <v>113</v>
      </c>
      <c r="F15" s="39"/>
      <c r="G15" s="40">
        <v>80</v>
      </c>
      <c r="H15" s="40">
        <v>1</v>
      </c>
      <c r="I15" s="40">
        <v>16</v>
      </c>
      <c r="J15" s="40">
        <v>102</v>
      </c>
      <c r="K15" s="40">
        <v>1000</v>
      </c>
    </row>
    <row r="16" spans="1:11" x14ac:dyDescent="0.3">
      <c r="A16" s="51" t="s">
        <v>96</v>
      </c>
      <c r="B16" s="52">
        <v>-923</v>
      </c>
      <c r="C16" s="52">
        <v>577</v>
      </c>
      <c r="D16" s="52">
        <v>-582</v>
      </c>
      <c r="E16" s="52">
        <v>70</v>
      </c>
      <c r="F16" s="52">
        <v>133</v>
      </c>
      <c r="G16" s="52">
        <v>-3653</v>
      </c>
      <c r="H16" s="52">
        <v>238</v>
      </c>
      <c r="I16" s="52">
        <v>401</v>
      </c>
      <c r="J16" s="52">
        <v>-700</v>
      </c>
      <c r="K16" s="52">
        <v>-34</v>
      </c>
    </row>
    <row r="17" spans="1:11" x14ac:dyDescent="0.3">
      <c r="A17" s="49" t="s">
        <v>97</v>
      </c>
      <c r="B17" s="53">
        <v>-923</v>
      </c>
      <c r="C17" s="40">
        <v>577</v>
      </c>
      <c r="D17" s="53">
        <v>-582</v>
      </c>
      <c r="E17" s="40">
        <v>70</v>
      </c>
      <c r="F17" s="40">
        <v>133</v>
      </c>
      <c r="G17" s="53">
        <v>-3653</v>
      </c>
      <c r="H17" s="40">
        <v>238</v>
      </c>
      <c r="I17" s="40">
        <v>401</v>
      </c>
      <c r="J17" s="53">
        <v>-700</v>
      </c>
      <c r="K17" s="53">
        <v>-34</v>
      </c>
    </row>
    <row r="18" spans="1:11" x14ac:dyDescent="0.3">
      <c r="A18" s="46" t="s">
        <v>98</v>
      </c>
      <c r="B18" s="38">
        <v>955</v>
      </c>
      <c r="C18" s="38">
        <v>1036</v>
      </c>
      <c r="D18" s="38">
        <v>984</v>
      </c>
      <c r="E18" s="38">
        <v>1279</v>
      </c>
      <c r="F18" s="38">
        <v>826</v>
      </c>
      <c r="G18" s="38">
        <v>719</v>
      </c>
      <c r="H18" s="38">
        <v>720</v>
      </c>
      <c r="I18" s="38">
        <v>350</v>
      </c>
      <c r="J18" s="38">
        <v>2988</v>
      </c>
      <c r="K18" s="38">
        <v>2468</v>
      </c>
    </row>
    <row r="19" spans="1:11" x14ac:dyDescent="0.3">
      <c r="A19" s="45" t="s">
        <v>99</v>
      </c>
      <c r="B19" s="40">
        <v>4145</v>
      </c>
      <c r="C19" s="40">
        <v>5525</v>
      </c>
      <c r="D19" s="40">
        <v>7728</v>
      </c>
      <c r="E19" s="40">
        <v>4982</v>
      </c>
      <c r="F19" s="40">
        <v>4855</v>
      </c>
      <c r="G19" s="40">
        <v>2921</v>
      </c>
      <c r="H19" s="40">
        <v>3838</v>
      </c>
      <c r="I19" s="40">
        <v>3579</v>
      </c>
      <c r="J19" s="40">
        <v>10903</v>
      </c>
      <c r="K19" s="40">
        <v>11781</v>
      </c>
    </row>
    <row r="20" spans="1:11" x14ac:dyDescent="0.3">
      <c r="A20" s="51" t="s">
        <v>100</v>
      </c>
      <c r="B20" s="52">
        <v>-574</v>
      </c>
      <c r="C20" s="52">
        <v>-1062</v>
      </c>
      <c r="D20" s="52">
        <v>-1319</v>
      </c>
      <c r="E20" s="52">
        <v>-666</v>
      </c>
      <c r="F20" s="52">
        <v>-201</v>
      </c>
      <c r="G20" s="52">
        <v>1607</v>
      </c>
      <c r="H20" s="52">
        <v>-161</v>
      </c>
      <c r="I20" s="52">
        <v>-327</v>
      </c>
      <c r="J20" s="52">
        <v>-4413</v>
      </c>
      <c r="K20" s="52">
        <v>552</v>
      </c>
    </row>
    <row r="21" spans="1:11" x14ac:dyDescent="0.3">
      <c r="A21" s="49" t="s">
        <v>101</v>
      </c>
      <c r="B21" s="40">
        <v>278</v>
      </c>
      <c r="C21" s="40">
        <v>1285</v>
      </c>
      <c r="D21" s="53">
        <v>-105</v>
      </c>
      <c r="E21" s="40">
        <v>575</v>
      </c>
      <c r="F21" s="53">
        <v>-761</v>
      </c>
      <c r="G21" s="53">
        <v>-491</v>
      </c>
      <c r="H21" s="53">
        <v>-453</v>
      </c>
      <c r="I21" s="40">
        <v>565</v>
      </c>
      <c r="J21" s="40">
        <v>507</v>
      </c>
      <c r="K21" s="40">
        <v>2437</v>
      </c>
    </row>
    <row r="22" spans="1:11" x14ac:dyDescent="0.3">
      <c r="A22" s="50" t="s">
        <v>102</v>
      </c>
      <c r="B22" s="38">
        <v>668</v>
      </c>
      <c r="C22" s="38">
        <v>214</v>
      </c>
      <c r="D22" s="41">
        <v>-2180</v>
      </c>
      <c r="E22" s="41">
        <v>-386</v>
      </c>
      <c r="F22" s="41">
        <v>-68</v>
      </c>
      <c r="G22" s="41">
        <v>-136</v>
      </c>
      <c r="H22" s="41">
        <v>-1346</v>
      </c>
      <c r="I22" s="41">
        <v>-291</v>
      </c>
      <c r="J22" s="41">
        <v>-330</v>
      </c>
      <c r="K22" s="41">
        <v>-580</v>
      </c>
    </row>
    <row r="23" spans="1:11" x14ac:dyDescent="0.3">
      <c r="A23" s="49" t="s">
        <v>103</v>
      </c>
      <c r="B23" s="53">
        <v>-1240</v>
      </c>
      <c r="C23" s="53">
        <v>-909</v>
      </c>
      <c r="D23" s="40">
        <v>1257</v>
      </c>
      <c r="E23" s="53">
        <v>-35</v>
      </c>
      <c r="F23" s="53">
        <v>-53</v>
      </c>
      <c r="G23" s="40">
        <v>1429</v>
      </c>
      <c r="H23" s="40">
        <v>2161</v>
      </c>
      <c r="I23" s="40">
        <v>928</v>
      </c>
      <c r="J23" s="40">
        <v>31</v>
      </c>
      <c r="K23" s="40">
        <v>1912</v>
      </c>
    </row>
    <row r="24" spans="1:11" x14ac:dyDescent="0.3">
      <c r="A24" s="50" t="s">
        <v>104</v>
      </c>
      <c r="B24" s="38">
        <v>198</v>
      </c>
      <c r="C24" s="41">
        <v>-134</v>
      </c>
      <c r="D24" s="38">
        <v>59</v>
      </c>
      <c r="E24" s="41">
        <v>-147</v>
      </c>
      <c r="F24" s="41">
        <v>-851</v>
      </c>
      <c r="G24" s="38">
        <v>389</v>
      </c>
      <c r="H24" s="38">
        <v>73</v>
      </c>
      <c r="I24" s="38">
        <v>106</v>
      </c>
      <c r="J24" s="41">
        <v>-137</v>
      </c>
      <c r="K24" s="38">
        <v>310</v>
      </c>
    </row>
    <row r="25" spans="1:11" x14ac:dyDescent="0.3">
      <c r="A25" s="49" t="s">
        <v>105</v>
      </c>
      <c r="B25" s="53">
        <v>-478</v>
      </c>
      <c r="C25" s="53">
        <v>-1518</v>
      </c>
      <c r="D25" s="53">
        <v>-350</v>
      </c>
      <c r="E25" s="53">
        <v>-673</v>
      </c>
      <c r="F25" s="40">
        <v>1532</v>
      </c>
      <c r="G25" s="40">
        <v>416</v>
      </c>
      <c r="H25" s="53">
        <v>-596</v>
      </c>
      <c r="I25" s="53">
        <v>-1635</v>
      </c>
      <c r="J25" s="53">
        <v>-4484</v>
      </c>
      <c r="K25" s="53">
        <v>-3527</v>
      </c>
    </row>
    <row r="26" spans="1:11" x14ac:dyDescent="0.3">
      <c r="A26" s="46" t="s">
        <v>106</v>
      </c>
      <c r="B26" s="38">
        <v>3571</v>
      </c>
      <c r="C26" s="38">
        <v>4463</v>
      </c>
      <c r="D26" s="38">
        <v>6409</v>
      </c>
      <c r="E26" s="38">
        <v>4316</v>
      </c>
      <c r="F26" s="38">
        <v>4654</v>
      </c>
      <c r="G26" s="38">
        <v>4528</v>
      </c>
      <c r="H26" s="38">
        <v>3677</v>
      </c>
      <c r="I26" s="38">
        <v>3252</v>
      </c>
      <c r="J26" s="38">
        <v>6490</v>
      </c>
      <c r="K26" s="38">
        <v>12333</v>
      </c>
    </row>
    <row r="27" spans="1:11" x14ac:dyDescent="0.3">
      <c r="A27" s="44" t="s">
        <v>107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</row>
    <row r="28" spans="1:11" x14ac:dyDescent="0.3">
      <c r="A28" s="51" t="s">
        <v>108</v>
      </c>
      <c r="B28" s="54">
        <v>-609</v>
      </c>
      <c r="C28" s="54">
        <v>-791</v>
      </c>
      <c r="D28" s="54">
        <v>-582</v>
      </c>
      <c r="E28" s="54">
        <v>-580</v>
      </c>
      <c r="F28" s="54">
        <v>-671</v>
      </c>
      <c r="G28" s="54">
        <v>-546</v>
      </c>
      <c r="H28" s="54">
        <v>-402</v>
      </c>
      <c r="I28" s="54">
        <v>-433</v>
      </c>
      <c r="J28" s="54">
        <v>-3603</v>
      </c>
      <c r="K28" s="54">
        <v>-3853</v>
      </c>
    </row>
    <row r="29" spans="1:11" x14ac:dyDescent="0.3">
      <c r="A29" s="49" t="s">
        <v>109</v>
      </c>
      <c r="B29" s="55">
        <v>-609</v>
      </c>
      <c r="C29" s="55">
        <v>-791</v>
      </c>
      <c r="D29" s="55">
        <v>-582</v>
      </c>
      <c r="E29" s="55">
        <v>-580</v>
      </c>
      <c r="F29" s="55">
        <v>-671</v>
      </c>
      <c r="G29" s="55">
        <v>-546</v>
      </c>
      <c r="H29" s="55">
        <v>-402</v>
      </c>
      <c r="I29" s="55">
        <v>-433</v>
      </c>
      <c r="J29" s="55">
        <v>-3603</v>
      </c>
      <c r="K29" s="55">
        <v>-3853</v>
      </c>
    </row>
    <row r="30" spans="1:11" x14ac:dyDescent="0.3">
      <c r="A30" s="46" t="s">
        <v>110</v>
      </c>
      <c r="B30" s="56">
        <v>-7</v>
      </c>
      <c r="C30" s="56">
        <v>-2755</v>
      </c>
      <c r="D30" s="56">
        <v>-854</v>
      </c>
      <c r="E30" s="57">
        <v>0</v>
      </c>
      <c r="F30" s="56">
        <v>-458</v>
      </c>
      <c r="G30" s="56">
        <v>-1036</v>
      </c>
      <c r="H30" s="57">
        <v>0</v>
      </c>
      <c r="I30" s="56">
        <v>-7</v>
      </c>
      <c r="J30" s="56">
        <v>-2644</v>
      </c>
      <c r="K30" s="56">
        <v>-49</v>
      </c>
    </row>
    <row r="31" spans="1:11" x14ac:dyDescent="0.3">
      <c r="A31" s="45" t="s">
        <v>111</v>
      </c>
      <c r="B31" s="58">
        <v>16</v>
      </c>
      <c r="C31" s="58">
        <v>26</v>
      </c>
      <c r="D31" s="58">
        <v>0</v>
      </c>
      <c r="E31" s="58">
        <v>3</v>
      </c>
      <c r="F31" s="58">
        <v>0</v>
      </c>
      <c r="G31" s="58">
        <v>172</v>
      </c>
      <c r="H31" s="58">
        <v>69</v>
      </c>
      <c r="I31" s="58">
        <v>481</v>
      </c>
      <c r="J31" s="58">
        <v>670</v>
      </c>
      <c r="K31" s="58">
        <v>849</v>
      </c>
    </row>
    <row r="32" spans="1:11" x14ac:dyDescent="0.3">
      <c r="A32" s="51" t="s">
        <v>112</v>
      </c>
      <c r="B32" s="54">
        <v>10</v>
      </c>
      <c r="C32" s="54">
        <v>-43</v>
      </c>
      <c r="D32" s="54">
        <v>276</v>
      </c>
      <c r="E32" s="54">
        <v>-276</v>
      </c>
      <c r="F32" s="54">
        <v>691</v>
      </c>
      <c r="G32" s="54">
        <v>480</v>
      </c>
      <c r="H32" s="54">
        <v>-1384</v>
      </c>
      <c r="I32" s="54">
        <v>7</v>
      </c>
      <c r="J32" s="54">
        <v>43</v>
      </c>
      <c r="K32" s="54">
        <v>261</v>
      </c>
    </row>
    <row r="33" spans="1:11" x14ac:dyDescent="0.3">
      <c r="A33" s="49" t="s">
        <v>113</v>
      </c>
      <c r="B33" s="58">
        <v>11</v>
      </c>
      <c r="C33" s="58">
        <v>52</v>
      </c>
      <c r="D33" s="58">
        <v>28</v>
      </c>
      <c r="E33" s="58">
        <v>693</v>
      </c>
      <c r="F33" s="58">
        <v>80</v>
      </c>
      <c r="G33" s="58">
        <v>367</v>
      </c>
      <c r="H33" s="58">
        <v>1919</v>
      </c>
      <c r="I33" s="58">
        <v>126</v>
      </c>
      <c r="J33" s="58">
        <v>259</v>
      </c>
      <c r="K33" s="58">
        <v>1086</v>
      </c>
    </row>
    <row r="34" spans="1:11" x14ac:dyDescent="0.3">
      <c r="A34" s="50" t="s">
        <v>114</v>
      </c>
      <c r="B34" s="57">
        <v>21</v>
      </c>
      <c r="C34" s="57">
        <v>9</v>
      </c>
      <c r="D34" s="57">
        <v>304</v>
      </c>
      <c r="E34" s="57">
        <v>417</v>
      </c>
      <c r="F34" s="57">
        <v>771</v>
      </c>
      <c r="G34" s="57">
        <v>847</v>
      </c>
      <c r="H34" s="57">
        <v>535</v>
      </c>
      <c r="I34" s="57">
        <v>133</v>
      </c>
      <c r="J34" s="57">
        <v>302</v>
      </c>
      <c r="K34" s="57">
        <v>1347</v>
      </c>
    </row>
    <row r="35" spans="1:11" x14ac:dyDescent="0.3">
      <c r="A35" s="47" t="s">
        <v>98</v>
      </c>
      <c r="B35" s="59">
        <v>0</v>
      </c>
      <c r="C35" s="59">
        <v>14</v>
      </c>
      <c r="D35" s="59">
        <v>148</v>
      </c>
      <c r="E35" s="59">
        <v>-163</v>
      </c>
      <c r="F35" s="59">
        <v>0</v>
      </c>
      <c r="G35" s="59">
        <v>214</v>
      </c>
      <c r="H35" s="59">
        <v>0</v>
      </c>
      <c r="I35" s="59">
        <v>0</v>
      </c>
      <c r="J35" s="59">
        <v>0</v>
      </c>
      <c r="K35" s="59">
        <v>0</v>
      </c>
    </row>
    <row r="36" spans="1:11" x14ac:dyDescent="0.3">
      <c r="A36" s="50" t="s">
        <v>115</v>
      </c>
      <c r="B36" s="57">
        <v>0</v>
      </c>
      <c r="C36" s="57">
        <v>0</v>
      </c>
      <c r="D36" s="57">
        <v>0</v>
      </c>
      <c r="E36" s="56">
        <v>-163</v>
      </c>
      <c r="F36" s="56">
        <v>-32</v>
      </c>
      <c r="G36" s="56">
        <v>-1165</v>
      </c>
      <c r="H36" s="57">
        <v>0</v>
      </c>
      <c r="I36" s="57">
        <v>0</v>
      </c>
      <c r="J36" s="57">
        <v>0</v>
      </c>
      <c r="K36" s="57">
        <v>0</v>
      </c>
    </row>
    <row r="37" spans="1:11" x14ac:dyDescent="0.3">
      <c r="A37" s="49" t="s">
        <v>116</v>
      </c>
      <c r="B37" s="58">
        <v>0</v>
      </c>
      <c r="C37" s="58">
        <v>14</v>
      </c>
      <c r="D37" s="58">
        <v>148</v>
      </c>
      <c r="E37" s="58">
        <v>0</v>
      </c>
      <c r="F37" s="58">
        <v>32</v>
      </c>
      <c r="G37" s="58">
        <v>1379</v>
      </c>
      <c r="H37" s="58">
        <v>0</v>
      </c>
      <c r="I37" s="58">
        <v>0</v>
      </c>
      <c r="J37" s="58">
        <v>0</v>
      </c>
      <c r="K37" s="58">
        <v>0</v>
      </c>
    </row>
    <row r="38" spans="1:11" x14ac:dyDescent="0.3">
      <c r="A38" s="46" t="s">
        <v>117</v>
      </c>
      <c r="B38" s="56">
        <v>-590</v>
      </c>
      <c r="C38" s="56">
        <v>-3549</v>
      </c>
      <c r="D38" s="56">
        <v>-1012</v>
      </c>
      <c r="E38" s="56">
        <v>-1016</v>
      </c>
      <c r="F38" s="56">
        <v>-438</v>
      </c>
      <c r="G38" s="56">
        <v>-716</v>
      </c>
      <c r="H38" s="56">
        <v>-1717</v>
      </c>
      <c r="I38" s="57">
        <v>48</v>
      </c>
      <c r="J38" s="56">
        <v>-5534</v>
      </c>
      <c r="K38" s="56">
        <v>-2792</v>
      </c>
    </row>
    <row r="39" spans="1:11" x14ac:dyDescent="0.3">
      <c r="A39" s="44" t="s">
        <v>118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</row>
    <row r="40" spans="1:11" x14ac:dyDescent="0.3">
      <c r="A40" s="51" t="s">
        <v>119</v>
      </c>
      <c r="B40" s="52">
        <v>-1037</v>
      </c>
      <c r="C40" s="52">
        <v>-1037</v>
      </c>
      <c r="D40" s="52">
        <v>-938</v>
      </c>
      <c r="E40" s="52">
        <v>-997</v>
      </c>
      <c r="F40" s="52">
        <v>-970</v>
      </c>
      <c r="G40" s="52">
        <v>-899</v>
      </c>
      <c r="H40" s="52">
        <v>-894</v>
      </c>
      <c r="I40" s="52">
        <v>-858</v>
      </c>
      <c r="J40" s="52">
        <v>-1250</v>
      </c>
      <c r="K40" s="52">
        <v>-1184</v>
      </c>
    </row>
    <row r="41" spans="1:11" x14ac:dyDescent="0.3">
      <c r="A41" s="49" t="s">
        <v>120</v>
      </c>
      <c r="B41" s="53">
        <v>-1037</v>
      </c>
      <c r="C41" s="53">
        <v>-1037</v>
      </c>
      <c r="D41" s="53">
        <v>-938</v>
      </c>
      <c r="E41" s="53">
        <v>-997</v>
      </c>
      <c r="F41" s="53">
        <v>-970</v>
      </c>
      <c r="G41" s="53">
        <v>-899</v>
      </c>
      <c r="H41" s="53">
        <v>-894</v>
      </c>
      <c r="I41" s="53">
        <v>-858</v>
      </c>
      <c r="J41" s="53">
        <v>-1250</v>
      </c>
      <c r="K41" s="53">
        <v>-1184</v>
      </c>
    </row>
    <row r="42" spans="1:11" x14ac:dyDescent="0.3">
      <c r="A42" s="51" t="s">
        <v>121</v>
      </c>
      <c r="B42" s="52">
        <v>-100</v>
      </c>
      <c r="C42" s="52">
        <v>-4297</v>
      </c>
      <c r="D42" s="52">
        <v>-6249</v>
      </c>
      <c r="E42" s="52">
        <v>-3107</v>
      </c>
      <c r="F42" s="52">
        <v>-2405</v>
      </c>
      <c r="G42" s="52">
        <v>-2557</v>
      </c>
      <c r="H42" s="52">
        <v>-1412</v>
      </c>
      <c r="I42" s="52">
        <v>-1161</v>
      </c>
      <c r="J42" s="52">
        <v>-2512</v>
      </c>
      <c r="K42" s="52">
        <v>-2431</v>
      </c>
    </row>
    <row r="43" spans="1:11" x14ac:dyDescent="0.3">
      <c r="A43" s="49" t="s">
        <v>122</v>
      </c>
      <c r="B43" s="53">
        <v>-100</v>
      </c>
      <c r="C43" s="53">
        <v>-4297</v>
      </c>
      <c r="D43" s="53">
        <v>-6249</v>
      </c>
      <c r="E43" s="53">
        <v>-3107</v>
      </c>
      <c r="F43" s="53">
        <v>-2405</v>
      </c>
      <c r="G43" s="53">
        <v>-2557</v>
      </c>
      <c r="H43" s="53">
        <v>-1412</v>
      </c>
      <c r="I43" s="53">
        <v>-1161</v>
      </c>
      <c r="J43" s="53">
        <v>-2883</v>
      </c>
      <c r="K43" s="53">
        <v>-2728</v>
      </c>
    </row>
    <row r="44" spans="1:11" x14ac:dyDescent="0.3">
      <c r="A44" s="60" t="s">
        <v>123</v>
      </c>
      <c r="B44" s="52">
        <v>0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371</v>
      </c>
      <c r="K44" s="52">
        <v>297</v>
      </c>
    </row>
    <row r="45" spans="1:11" x14ac:dyDescent="0.3">
      <c r="A45" s="61" t="s">
        <v>124</v>
      </c>
      <c r="B45" s="40">
        <v>0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371</v>
      </c>
      <c r="K45" s="40">
        <v>297</v>
      </c>
    </row>
    <row r="46" spans="1:11" x14ac:dyDescent="0.3">
      <c r="A46" s="51" t="s">
        <v>125</v>
      </c>
      <c r="B46" s="52">
        <v>-1455</v>
      </c>
      <c r="C46" s="52">
        <v>3082</v>
      </c>
      <c r="D46" s="52">
        <v>1276</v>
      </c>
      <c r="E46" s="52">
        <v>1259</v>
      </c>
      <c r="F46" s="52">
        <v>-1409</v>
      </c>
      <c r="G46" s="52">
        <v>-2239</v>
      </c>
      <c r="H46" s="52">
        <v>1007</v>
      </c>
      <c r="I46" s="52">
        <v>-2087</v>
      </c>
      <c r="J46" s="52">
        <v>4965</v>
      </c>
      <c r="K46" s="52">
        <v>-3014</v>
      </c>
    </row>
    <row r="47" spans="1:11" x14ac:dyDescent="0.3">
      <c r="A47" s="49" t="s">
        <v>126</v>
      </c>
      <c r="B47" s="53">
        <v>-10</v>
      </c>
      <c r="C47" s="53">
        <v>-400</v>
      </c>
      <c r="D47" s="40">
        <v>400</v>
      </c>
      <c r="E47" s="40">
        <v>27</v>
      </c>
      <c r="F47" s="53">
        <v>-856</v>
      </c>
      <c r="G47" s="40">
        <v>743</v>
      </c>
      <c r="H47" s="40">
        <v>202</v>
      </c>
      <c r="I47" s="40">
        <v>97</v>
      </c>
      <c r="J47" s="40">
        <v>74</v>
      </c>
      <c r="K47" s="40">
        <v>148</v>
      </c>
    </row>
    <row r="48" spans="1:11" x14ac:dyDescent="0.3">
      <c r="A48" s="60" t="s">
        <v>127</v>
      </c>
      <c r="B48" s="52">
        <v>-1445</v>
      </c>
      <c r="C48" s="52">
        <v>3482</v>
      </c>
      <c r="D48" s="52">
        <v>876</v>
      </c>
      <c r="E48" s="52">
        <v>1232</v>
      </c>
      <c r="F48" s="52">
        <v>-553</v>
      </c>
      <c r="G48" s="52">
        <v>-2982</v>
      </c>
      <c r="H48" s="52">
        <v>805</v>
      </c>
      <c r="I48" s="52">
        <v>-2184</v>
      </c>
      <c r="J48" s="52">
        <v>4891</v>
      </c>
      <c r="K48" s="52">
        <v>-3162</v>
      </c>
    </row>
    <row r="49" spans="1:11" x14ac:dyDescent="0.3">
      <c r="A49" s="61" t="s">
        <v>128</v>
      </c>
      <c r="B49" s="40">
        <v>255</v>
      </c>
      <c r="C49" s="40">
        <v>4175</v>
      </c>
      <c r="D49" s="40">
        <v>2121</v>
      </c>
      <c r="E49" s="40">
        <v>3081</v>
      </c>
      <c r="F49" s="40">
        <v>127</v>
      </c>
      <c r="G49" s="40">
        <v>712</v>
      </c>
      <c r="H49" s="40">
        <v>892</v>
      </c>
      <c r="I49" s="40">
        <v>4</v>
      </c>
      <c r="J49" s="40">
        <v>20758</v>
      </c>
      <c r="K49" s="40">
        <v>2875</v>
      </c>
    </row>
    <row r="50" spans="1:11" x14ac:dyDescent="0.3">
      <c r="A50" s="62" t="s">
        <v>129</v>
      </c>
      <c r="B50" s="41">
        <v>-1700</v>
      </c>
      <c r="C50" s="41">
        <v>-693</v>
      </c>
      <c r="D50" s="41">
        <v>-1245</v>
      </c>
      <c r="E50" s="41">
        <v>-1849</v>
      </c>
      <c r="F50" s="41">
        <v>-680</v>
      </c>
      <c r="G50" s="41">
        <v>-3694</v>
      </c>
      <c r="H50" s="41">
        <v>-87</v>
      </c>
      <c r="I50" s="41">
        <v>-2188</v>
      </c>
      <c r="J50" s="41">
        <v>-15867</v>
      </c>
      <c r="K50" s="41">
        <v>-6037</v>
      </c>
    </row>
    <row r="51" spans="1:11" x14ac:dyDescent="0.3">
      <c r="A51" s="47" t="s">
        <v>98</v>
      </c>
      <c r="B51" s="48">
        <v>-302</v>
      </c>
      <c r="C51" s="48">
        <v>184</v>
      </c>
      <c r="D51" s="48">
        <v>-51</v>
      </c>
      <c r="E51" s="48">
        <v>-128</v>
      </c>
      <c r="F51" s="48">
        <v>-61</v>
      </c>
      <c r="G51" s="48">
        <v>52</v>
      </c>
      <c r="H51" s="48">
        <v>48</v>
      </c>
      <c r="I51" s="48">
        <v>-10339</v>
      </c>
      <c r="J51" s="48">
        <v>141</v>
      </c>
      <c r="K51" s="48">
        <v>58</v>
      </c>
    </row>
    <row r="52" spans="1:11" x14ac:dyDescent="0.3">
      <c r="A52" s="50" t="s">
        <v>115</v>
      </c>
      <c r="B52" s="41">
        <v>-302</v>
      </c>
      <c r="C52" s="41">
        <v>-95</v>
      </c>
      <c r="D52" s="41">
        <v>-51</v>
      </c>
      <c r="E52" s="41">
        <v>-128</v>
      </c>
      <c r="F52" s="41">
        <v>-61</v>
      </c>
      <c r="G52" s="38">
        <v>0</v>
      </c>
      <c r="H52" s="41">
        <v>-9</v>
      </c>
      <c r="I52" s="41">
        <v>-10375</v>
      </c>
      <c r="J52" s="38">
        <v>0</v>
      </c>
      <c r="K52" s="38">
        <v>0</v>
      </c>
    </row>
    <row r="53" spans="1:11" x14ac:dyDescent="0.3">
      <c r="A53" s="49" t="s">
        <v>116</v>
      </c>
      <c r="B53" s="40">
        <v>0</v>
      </c>
      <c r="C53" s="40">
        <v>279</v>
      </c>
      <c r="D53" s="40">
        <v>0</v>
      </c>
      <c r="E53" s="40">
        <v>0</v>
      </c>
      <c r="F53" s="40">
        <v>0</v>
      </c>
      <c r="G53" s="40">
        <v>52</v>
      </c>
      <c r="H53" s="40">
        <v>57</v>
      </c>
      <c r="I53" s="40">
        <v>36</v>
      </c>
      <c r="J53" s="40">
        <v>141</v>
      </c>
      <c r="K53" s="40">
        <v>58</v>
      </c>
    </row>
    <row r="54" spans="1:11" x14ac:dyDescent="0.3">
      <c r="A54" s="46" t="s">
        <v>130</v>
      </c>
      <c r="B54" s="41">
        <v>-2894</v>
      </c>
      <c r="C54" s="41">
        <v>-2068</v>
      </c>
      <c r="D54" s="41">
        <v>-5962</v>
      </c>
      <c r="E54" s="41">
        <v>-2973</v>
      </c>
      <c r="F54" s="41">
        <v>-4845</v>
      </c>
      <c r="G54" s="41">
        <v>-5643</v>
      </c>
      <c r="H54" s="41">
        <v>-1251</v>
      </c>
      <c r="I54" s="41">
        <v>-14445</v>
      </c>
      <c r="J54" s="38">
        <v>1344</v>
      </c>
      <c r="K54" s="41">
        <v>-6571</v>
      </c>
    </row>
    <row r="55" spans="1:11" x14ac:dyDescent="0.3">
      <c r="A55" s="44" t="s">
        <v>131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</row>
    <row r="56" spans="1:11" x14ac:dyDescent="0.3">
      <c r="A56" s="46" t="s">
        <v>132</v>
      </c>
      <c r="B56" s="38">
        <v>87</v>
      </c>
      <c r="C56" s="41">
        <v>-1154</v>
      </c>
      <c r="D56" s="41">
        <v>-565</v>
      </c>
      <c r="E56" s="38">
        <v>327</v>
      </c>
      <c r="F56" s="41">
        <v>-629</v>
      </c>
      <c r="G56" s="41">
        <v>-1831</v>
      </c>
      <c r="H56" s="38">
        <v>709</v>
      </c>
      <c r="I56" s="41">
        <v>-11145</v>
      </c>
      <c r="J56" s="38">
        <v>2300</v>
      </c>
      <c r="K56" s="38">
        <v>2970</v>
      </c>
    </row>
    <row r="57" spans="1:11" x14ac:dyDescent="0.3">
      <c r="A57" s="47" t="s">
        <v>133</v>
      </c>
      <c r="B57" s="48">
        <v>2962</v>
      </c>
      <c r="C57" s="48">
        <v>3672</v>
      </c>
      <c r="D57" s="48">
        <v>5827</v>
      </c>
      <c r="E57" s="48">
        <v>3736</v>
      </c>
      <c r="F57" s="48">
        <v>3983</v>
      </c>
      <c r="G57" s="48">
        <v>3982</v>
      </c>
      <c r="H57" s="48">
        <v>3275</v>
      </c>
      <c r="I57" s="48">
        <v>2819</v>
      </c>
      <c r="J57" s="48">
        <v>2887</v>
      </c>
      <c r="K57" s="48">
        <v>8480</v>
      </c>
    </row>
    <row r="58" spans="1:11" x14ac:dyDescent="0.3">
      <c r="A58" s="50" t="s">
        <v>134</v>
      </c>
      <c r="B58" s="38">
        <v>2.9620000000000002</v>
      </c>
      <c r="C58" s="38">
        <v>3.4971429999999999</v>
      </c>
      <c r="D58" s="38">
        <v>4.77623</v>
      </c>
      <c r="E58" s="38">
        <v>2.630986</v>
      </c>
      <c r="F58" s="38">
        <v>2.6135169999999999</v>
      </c>
      <c r="G58" s="38">
        <v>2.4369649999999998</v>
      </c>
      <c r="H58" s="38">
        <v>1.924207</v>
      </c>
      <c r="I58" s="38">
        <v>1.617326</v>
      </c>
      <c r="J58" s="38">
        <v>1.5724400000000001</v>
      </c>
      <c r="K58" s="38">
        <v>4.4351459999999996</v>
      </c>
    </row>
    <row r="59" spans="1:11" x14ac:dyDescent="0.3">
      <c r="A59" s="49" t="s">
        <v>135</v>
      </c>
      <c r="B59" s="63">
        <v>11.249525</v>
      </c>
      <c r="C59" s="63">
        <v>12.661632000000001</v>
      </c>
      <c r="D59" s="63">
        <v>15.747541999999999</v>
      </c>
      <c r="E59" s="63">
        <v>14.649141999999999</v>
      </c>
      <c r="F59" s="63">
        <v>15.046155000000001</v>
      </c>
      <c r="G59" s="63">
        <v>10.095131</v>
      </c>
      <c r="H59" s="63">
        <v>8.9290339999999997</v>
      </c>
      <c r="I59" s="63">
        <v>11.161673</v>
      </c>
      <c r="J59" s="63">
        <v>5.8324930000000004</v>
      </c>
      <c r="K59" s="63">
        <v>12.361055</v>
      </c>
    </row>
    <row r="60" spans="1:11" x14ac:dyDescent="0.3">
      <c r="A60" s="64" t="s">
        <v>58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DCF</vt:lpstr>
      <vt:lpstr>WACC</vt:lpstr>
      <vt:lpstr>IS Reference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瑞泽 夏</dc:creator>
  <cp:lastModifiedBy>瑞泽 夏</cp:lastModifiedBy>
  <dcterms:created xsi:type="dcterms:W3CDTF">2024-04-14T07:50:36Z</dcterms:created>
  <dcterms:modified xsi:type="dcterms:W3CDTF">2024-06-23T13:49:30Z</dcterms:modified>
</cp:coreProperties>
</file>