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cea6cbeee350ba96/Desktop/Seeking Alpha Profile/ROAD Updated/"/>
    </mc:Choice>
  </mc:AlternateContent>
  <xr:revisionPtr revIDLastSave="2535" documentId="8_{8F9CC8DE-ECE0-42CD-B02D-C6078BDAFD5A}" xr6:coauthVersionLast="47" xr6:coauthVersionMax="47" xr10:uidLastSave="{F751ED73-0B33-4E78-BC2B-1513140DC937}"/>
  <bookViews>
    <workbookView xWindow="-98" yWindow="-98" windowWidth="28996" windowHeight="15675" xr2:uid="{00000000-000D-0000-FFFF-FFFF00000000}"/>
  </bookViews>
  <sheets>
    <sheet name="Summary" sheetId="5" r:id="rId1"/>
    <sheet name="ROAD-US" sheetId="2" r:id="rId2"/>
    <sheet name="Backlog" sheetId="3" r:id="rId3"/>
    <sheet name="LSP" sheetId="6" r:id="rId4"/>
    <sheet name="Valuation" sheetId="7" r:id="rId5"/>
    <sheet name="Comps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12" i="2" l="1"/>
  <c r="F120" i="2"/>
  <c r="X112" i="2"/>
  <c r="Y216" i="2"/>
  <c r="Z217" i="2"/>
  <c r="Z218" i="2"/>
  <c r="W185" i="2"/>
  <c r="W186" i="2" s="1"/>
  <c r="W188" i="2"/>
  <c r="W191" i="2"/>
  <c r="W192" i="2" s="1"/>
  <c r="W194" i="2"/>
  <c r="W195" i="2"/>
  <c r="W197" i="2"/>
  <c r="W198" i="2" s="1"/>
  <c r="W131" i="2"/>
  <c r="W132" i="2"/>
  <c r="W123" i="2"/>
  <c r="W125" i="2" s="1"/>
  <c r="W128" i="2" s="1"/>
  <c r="W129" i="2" s="1"/>
  <c r="W124" i="2"/>
  <c r="W126" i="2"/>
  <c r="W127" i="2"/>
  <c r="W111" i="2"/>
  <c r="W113" i="2" s="1"/>
  <c r="W115" i="2" s="1"/>
  <c r="W114" i="2"/>
  <c r="W112" i="2"/>
  <c r="Y46" i="2"/>
  <c r="X46" i="2"/>
  <c r="Y67" i="2"/>
  <c r="X67" i="2"/>
  <c r="W15" i="2"/>
  <c r="W40" i="2"/>
  <c r="W34" i="2"/>
  <c r="W9" i="2"/>
  <c r="W54" i="2"/>
  <c r="W59" i="2" s="1"/>
  <c r="W29" i="2"/>
  <c r="W37" i="2"/>
  <c r="W67" i="2"/>
  <c r="W46" i="2"/>
  <c r="W27" i="2"/>
  <c r="W23" i="2"/>
  <c r="W14" i="2"/>
  <c r="W13" i="2"/>
  <c r="I22" i="6"/>
  <c r="G21" i="6"/>
  <c r="G16" i="6"/>
  <c r="I15" i="6"/>
  <c r="E10" i="6"/>
  <c r="X6" i="2"/>
  <c r="X3" i="2" s="1"/>
  <c r="Y6" i="2"/>
  <c r="Y3" i="2" s="1"/>
  <c r="G15" i="8"/>
  <c r="R8" i="2"/>
  <c r="S8" i="2"/>
  <c r="T8" i="2"/>
  <c r="Q8" i="2"/>
  <c r="G20" i="8"/>
  <c r="G19" i="8"/>
  <c r="G18" i="8"/>
  <c r="G16" i="8"/>
  <c r="G17" i="8"/>
  <c r="G14" i="8"/>
  <c r="U9" i="2"/>
  <c r="V185" i="2"/>
  <c r="D9" i="8"/>
  <c r="D8" i="8"/>
  <c r="D7" i="8"/>
  <c r="D6" i="8"/>
  <c r="D5" i="8"/>
  <c r="C34" i="8"/>
  <c r="C35" i="8"/>
  <c r="C31" i="8"/>
  <c r="C30" i="8"/>
  <c r="C28" i="8"/>
  <c r="C6" i="8" s="1"/>
  <c r="C23" i="8"/>
  <c r="C22" i="8"/>
  <c r="C20" i="8"/>
  <c r="C8" i="8" s="1"/>
  <c r="C15" i="8"/>
  <c r="C14" i="8"/>
  <c r="X15" i="2"/>
  <c r="Y15" i="2"/>
  <c r="AB15" i="2"/>
  <c r="AC15" i="2"/>
  <c r="AA15" i="2"/>
  <c r="AA6" i="2"/>
  <c r="G22" i="5"/>
  <c r="H22" i="5"/>
  <c r="I22" i="5"/>
  <c r="J22" i="5"/>
  <c r="K22" i="5"/>
  <c r="L22" i="5"/>
  <c r="F22" i="5"/>
  <c r="C7" i="5"/>
  <c r="K15" i="5"/>
  <c r="L15" i="5"/>
  <c r="J15" i="5"/>
  <c r="F13" i="5"/>
  <c r="I12" i="5"/>
  <c r="I21" i="5" s="1"/>
  <c r="H12" i="5"/>
  <c r="G12" i="5"/>
  <c r="F12" i="5"/>
  <c r="F21" i="5" s="1"/>
  <c r="K7" i="5"/>
  <c r="L7" i="5"/>
  <c r="I4" i="5"/>
  <c r="I6" i="5" s="1"/>
  <c r="J7" i="5" s="1"/>
  <c r="D3" i="8" s="1"/>
  <c r="H4" i="5"/>
  <c r="G4" i="5"/>
  <c r="F4" i="5"/>
  <c r="F6" i="5" s="1"/>
  <c r="W133" i="2" l="1"/>
  <c r="W134" i="2" s="1"/>
  <c r="W116" i="2"/>
  <c r="W120" i="2"/>
  <c r="W55" i="2"/>
  <c r="C32" i="8"/>
  <c r="C5" i="8" s="1"/>
  <c r="C36" i="8"/>
  <c r="C3" i="8" s="1"/>
  <c r="C24" i="8"/>
  <c r="C7" i="8" s="1"/>
  <c r="C16" i="8"/>
  <c r="C9" i="8" s="1"/>
  <c r="G13" i="5"/>
  <c r="H13" i="5"/>
  <c r="G5" i="5"/>
  <c r="G7" i="5" s="1"/>
  <c r="H5" i="5"/>
  <c r="H7" i="5" s="1"/>
  <c r="I5" i="5"/>
  <c r="I7" i="5" s="1"/>
  <c r="H21" i="5"/>
  <c r="G21" i="5"/>
  <c r="I13" i="5"/>
  <c r="G6" i="5"/>
  <c r="H6" i="5"/>
  <c r="Z3" i="2"/>
  <c r="C4" i="8" l="1"/>
  <c r="W4" i="2"/>
  <c r="Y4" i="2"/>
  <c r="X4" i="2"/>
  <c r="J4" i="5"/>
  <c r="AA3" i="2"/>
  <c r="AA72" i="2" s="1"/>
  <c r="AA114" i="2" l="1"/>
  <c r="J5" i="5"/>
  <c r="X216" i="2" l="1"/>
  <c r="Z216" i="2" s="1"/>
  <c r="Y194" i="2"/>
  <c r="X194" i="2"/>
  <c r="X185" i="2"/>
  <c r="X191" i="2" s="1"/>
  <c r="Y185" i="2"/>
  <c r="Y191" i="2" s="1"/>
  <c r="G46" i="6"/>
  <c r="Z194" i="2" l="1"/>
  <c r="Z195" i="2" s="1"/>
  <c r="Z185" i="2"/>
  <c r="Y197" i="2"/>
  <c r="Y202" i="2" s="1"/>
  <c r="Y220" i="2" s="1"/>
  <c r="X197" i="2"/>
  <c r="X202" i="2" s="1"/>
  <c r="X220" i="2" s="1"/>
  <c r="G40" i="6"/>
  <c r="L6" i="6"/>
  <c r="G5" i="6"/>
  <c r="K13" i="6"/>
  <c r="K14" i="6" s="1"/>
  <c r="F5" i="6"/>
  <c r="G13" i="6" s="1"/>
  <c r="AC46" i="2"/>
  <c r="AB46" i="2"/>
  <c r="AA46" i="2"/>
  <c r="Z207" i="2"/>
  <c r="Z210" i="2"/>
  <c r="X72" i="2" l="1"/>
  <c r="Y72" i="2" s="1"/>
  <c r="Y73" i="2" s="1"/>
  <c r="F6" i="6"/>
  <c r="I4" i="6"/>
  <c r="I5" i="6" s="1"/>
  <c r="D10" i="6"/>
  <c r="C10" i="6"/>
  <c r="B8" i="6"/>
  <c r="B10" i="6" s="1"/>
  <c r="C23" i="6"/>
  <c r="C24" i="6" s="1"/>
  <c r="C21" i="6"/>
  <c r="C14" i="6"/>
  <c r="C18" i="6"/>
  <c r="D21" i="6"/>
  <c r="D16" i="6"/>
  <c r="D23" i="6" s="1"/>
  <c r="D24" i="6" s="1"/>
  <c r="D14" i="6"/>
  <c r="E21" i="6"/>
  <c r="E14" i="6"/>
  <c r="E16" i="6"/>
  <c r="E31" i="6"/>
  <c r="E32" i="6"/>
  <c r="I28" i="6"/>
  <c r="D6" i="6"/>
  <c r="E6" i="6"/>
  <c r="G6" i="6"/>
  <c r="C6" i="6"/>
  <c r="V194" i="2"/>
  <c r="V195" i="2" s="1"/>
  <c r="U194" i="2"/>
  <c r="U195" i="2" s="1"/>
  <c r="T194" i="2"/>
  <c r="T195" i="2" s="1"/>
  <c r="S194" i="2"/>
  <c r="S195" i="2" s="1"/>
  <c r="R194" i="2"/>
  <c r="R195" i="2" s="1"/>
  <c r="Q194" i="2"/>
  <c r="Q195" i="2" s="1"/>
  <c r="P194" i="2"/>
  <c r="P195" i="2" s="1"/>
  <c r="O194" i="2"/>
  <c r="O195" i="2" s="1"/>
  <c r="N194" i="2"/>
  <c r="N195" i="2" s="1"/>
  <c r="M194" i="2"/>
  <c r="M195" i="2" s="1"/>
  <c r="L194" i="2"/>
  <c r="L195" i="2" s="1"/>
  <c r="K194" i="2"/>
  <c r="K195" i="2" s="1"/>
  <c r="J194" i="2"/>
  <c r="J195" i="2" s="1"/>
  <c r="I194" i="2"/>
  <c r="I195" i="2" s="1"/>
  <c r="H194" i="2"/>
  <c r="H195" i="2" s="1"/>
  <c r="G194" i="2"/>
  <c r="G195" i="2" s="1"/>
  <c r="F194" i="2"/>
  <c r="F195" i="2" s="1"/>
  <c r="E194" i="2"/>
  <c r="E195" i="2" s="1"/>
  <c r="D194" i="2"/>
  <c r="D195" i="2" s="1"/>
  <c r="C194" i="2"/>
  <c r="C195" i="2" s="1"/>
  <c r="V188" i="2"/>
  <c r="Z188" i="2" s="1"/>
  <c r="Z191" i="2" s="1"/>
  <c r="Z192" i="2" s="1"/>
  <c r="U188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F188" i="2"/>
  <c r="E188" i="2"/>
  <c r="D188" i="2"/>
  <c r="C188" i="2"/>
  <c r="V186" i="2"/>
  <c r="U185" i="2"/>
  <c r="U186" i="2" s="1"/>
  <c r="T185" i="2"/>
  <c r="S185" i="2"/>
  <c r="R185" i="2"/>
  <c r="R186" i="2" s="1"/>
  <c r="Q185" i="2"/>
  <c r="Q186" i="2" s="1"/>
  <c r="P185" i="2"/>
  <c r="P186" i="2" s="1"/>
  <c r="O185" i="2"/>
  <c r="O186" i="2" s="1"/>
  <c r="N185" i="2"/>
  <c r="N186" i="2" s="1"/>
  <c r="M185" i="2"/>
  <c r="M186" i="2" s="1"/>
  <c r="L185" i="2"/>
  <c r="K185" i="2"/>
  <c r="K186" i="2" s="1"/>
  <c r="J185" i="2"/>
  <c r="I185" i="2"/>
  <c r="H185" i="2"/>
  <c r="G185" i="2"/>
  <c r="F185" i="2"/>
  <c r="F186" i="2" s="1"/>
  <c r="E185" i="2"/>
  <c r="D185" i="2"/>
  <c r="D186" i="2" s="1"/>
  <c r="C185" i="2"/>
  <c r="C186" i="2" s="1"/>
  <c r="B194" i="2"/>
  <c r="B195" i="2" s="1"/>
  <c r="B188" i="2"/>
  <c r="B185" i="2"/>
  <c r="AC132" i="2"/>
  <c r="AB132" i="2"/>
  <c r="AA132" i="2"/>
  <c r="Y132" i="2"/>
  <c r="X132" i="2"/>
  <c r="V127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C126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C123" i="2"/>
  <c r="B124" i="2"/>
  <c r="B127" i="2"/>
  <c r="B126" i="2"/>
  <c r="B123" i="2"/>
  <c r="U112" i="2"/>
  <c r="T112" i="2"/>
  <c r="S112" i="2"/>
  <c r="R112" i="2"/>
  <c r="Q112" i="2"/>
  <c r="P112" i="2"/>
  <c r="O112" i="2"/>
  <c r="N112" i="2"/>
  <c r="M112" i="2"/>
  <c r="M113" i="2" s="1"/>
  <c r="L112" i="2"/>
  <c r="K112" i="2"/>
  <c r="J112" i="2"/>
  <c r="I112" i="2"/>
  <c r="H112" i="2"/>
  <c r="G112" i="2"/>
  <c r="F112" i="2"/>
  <c r="E112" i="2"/>
  <c r="D112" i="2"/>
  <c r="C112" i="2"/>
  <c r="B112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B111" i="2"/>
  <c r="V112" i="2"/>
  <c r="Z112" i="2" s="1"/>
  <c r="AA112" i="2" s="1"/>
  <c r="V111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V114" i="2"/>
  <c r="C9" i="5" s="1"/>
  <c r="Z114" i="2" l="1"/>
  <c r="Z113" i="2"/>
  <c r="B113" i="2"/>
  <c r="C113" i="2"/>
  <c r="I191" i="2"/>
  <c r="I197" i="2" s="1"/>
  <c r="H191" i="2"/>
  <c r="H197" i="2" s="1"/>
  <c r="S113" i="2"/>
  <c r="S115" i="2" s="1"/>
  <c r="Q113" i="2"/>
  <c r="Q115" i="2" s="1"/>
  <c r="T113" i="2"/>
  <c r="T115" i="2" s="1"/>
  <c r="G191" i="2"/>
  <c r="G192" i="2" s="1"/>
  <c r="K191" i="2"/>
  <c r="K197" i="2" s="1"/>
  <c r="K202" i="2" s="1"/>
  <c r="M191" i="2"/>
  <c r="M192" i="2" s="1"/>
  <c r="P113" i="2"/>
  <c r="P115" i="2" s="1"/>
  <c r="H2" i="6"/>
  <c r="I9" i="6"/>
  <c r="G14" i="6" s="1"/>
  <c r="N191" i="2"/>
  <c r="N192" i="2" s="1"/>
  <c r="J191" i="2"/>
  <c r="J197" i="2" s="1"/>
  <c r="N113" i="2"/>
  <c r="N115" i="2" s="1"/>
  <c r="L191" i="2"/>
  <c r="L197" i="2" s="1"/>
  <c r="O113" i="2"/>
  <c r="O115" i="2" s="1"/>
  <c r="E18" i="6"/>
  <c r="E17" i="6"/>
  <c r="E23" i="6"/>
  <c r="E24" i="6" s="1"/>
  <c r="D18" i="6"/>
  <c r="E33" i="6"/>
  <c r="E34" i="6" s="1"/>
  <c r="D125" i="2"/>
  <c r="D128" i="2" s="1"/>
  <c r="E125" i="2"/>
  <c r="E128" i="2" s="1"/>
  <c r="V191" i="2"/>
  <c r="V197" i="2" s="1"/>
  <c r="E191" i="2"/>
  <c r="E192" i="2" s="1"/>
  <c r="U191" i="2"/>
  <c r="Q191" i="2"/>
  <c r="Q197" i="2" s="1"/>
  <c r="R191" i="2"/>
  <c r="R192" i="2" s="1"/>
  <c r="D191" i="2"/>
  <c r="D197" i="2" s="1"/>
  <c r="T191" i="2"/>
  <c r="T192" i="2" s="1"/>
  <c r="P191" i="2"/>
  <c r="C191" i="2"/>
  <c r="C192" i="2" s="1"/>
  <c r="S191" i="2"/>
  <c r="S192" i="2" s="1"/>
  <c r="O191" i="2"/>
  <c r="O197" i="2" s="1"/>
  <c r="N197" i="2"/>
  <c r="B191" i="2"/>
  <c r="B192" i="2" s="1"/>
  <c r="I192" i="2"/>
  <c r="S186" i="2"/>
  <c r="T186" i="2"/>
  <c r="E186" i="2"/>
  <c r="G186" i="2"/>
  <c r="H186" i="2"/>
  <c r="I186" i="2"/>
  <c r="J186" i="2"/>
  <c r="F191" i="2"/>
  <c r="L186" i="2"/>
  <c r="C125" i="2"/>
  <c r="C128" i="2" s="1"/>
  <c r="B125" i="2"/>
  <c r="B128" i="2" s="1"/>
  <c r="H113" i="2"/>
  <c r="H115" i="2" s="1"/>
  <c r="F125" i="2"/>
  <c r="F128" i="2" s="1"/>
  <c r="B186" i="2"/>
  <c r="I113" i="2"/>
  <c r="I115" i="2" s="1"/>
  <c r="G125" i="2"/>
  <c r="R125" i="2"/>
  <c r="R128" i="2" s="1"/>
  <c r="L113" i="2"/>
  <c r="L115" i="2" s="1"/>
  <c r="U113" i="2"/>
  <c r="U115" i="2" s="1"/>
  <c r="S125" i="2"/>
  <c r="S128" i="2" s="1"/>
  <c r="J113" i="2"/>
  <c r="J115" i="2" s="1"/>
  <c r="K113" i="2"/>
  <c r="K115" i="2" s="1"/>
  <c r="F113" i="2"/>
  <c r="F115" i="2" s="1"/>
  <c r="T125" i="2"/>
  <c r="T128" i="2" s="1"/>
  <c r="G113" i="2"/>
  <c r="G115" i="2" s="1"/>
  <c r="U125" i="2"/>
  <c r="U128" i="2" s="1"/>
  <c r="V125" i="2"/>
  <c r="V128" i="2" s="1"/>
  <c r="H125" i="2"/>
  <c r="M125" i="2"/>
  <c r="M128" i="2" s="1"/>
  <c r="D113" i="2"/>
  <c r="D115" i="2" s="1"/>
  <c r="I125" i="2"/>
  <c r="L125" i="2"/>
  <c r="L128" i="2" s="1"/>
  <c r="E113" i="2"/>
  <c r="E115" i="2" s="1"/>
  <c r="Q125" i="2"/>
  <c r="Q128" i="2" s="1"/>
  <c r="Q129" i="2" s="1"/>
  <c r="O125" i="2"/>
  <c r="O128" i="2" s="1"/>
  <c r="C115" i="2"/>
  <c r="N125" i="2"/>
  <c r="N128" i="2" s="1"/>
  <c r="P125" i="2"/>
  <c r="P128" i="2" s="1"/>
  <c r="R113" i="2"/>
  <c r="R115" i="2" s="1"/>
  <c r="J125" i="2"/>
  <c r="K125" i="2"/>
  <c r="K128" i="2" s="1"/>
  <c r="V113" i="2"/>
  <c r="B115" i="2"/>
  <c r="M115" i="2"/>
  <c r="M197" i="2" l="1"/>
  <c r="K198" i="2"/>
  <c r="P197" i="2"/>
  <c r="K192" i="2"/>
  <c r="U197" i="2"/>
  <c r="J192" i="2"/>
  <c r="S129" i="2"/>
  <c r="H192" i="2"/>
  <c r="E129" i="2"/>
  <c r="D192" i="2"/>
  <c r="T116" i="2"/>
  <c r="U116" i="2"/>
  <c r="S197" i="2"/>
  <c r="S198" i="2" s="1"/>
  <c r="C197" i="2"/>
  <c r="C202" i="2" s="1"/>
  <c r="C220" i="2" s="1"/>
  <c r="L192" i="2"/>
  <c r="D129" i="2"/>
  <c r="S116" i="2"/>
  <c r="N116" i="2"/>
  <c r="G197" i="2"/>
  <c r="G202" i="2" s="1"/>
  <c r="O116" i="2"/>
  <c r="O192" i="2"/>
  <c r="R197" i="2"/>
  <c r="R202" i="2" s="1"/>
  <c r="I128" i="2"/>
  <c r="I137" i="2" s="1"/>
  <c r="I136" i="2"/>
  <c r="H128" i="2"/>
  <c r="H137" i="2" s="1"/>
  <c r="H136" i="2"/>
  <c r="V115" i="2"/>
  <c r="V116" i="2" s="1"/>
  <c r="C8" i="5"/>
  <c r="C10" i="5" s="1"/>
  <c r="C11" i="5" s="1"/>
  <c r="J128" i="2"/>
  <c r="J137" i="2" s="1"/>
  <c r="J136" i="2"/>
  <c r="G128" i="2"/>
  <c r="G137" i="2" s="1"/>
  <c r="G136" i="2"/>
  <c r="Q198" i="2"/>
  <c r="Q202" i="2"/>
  <c r="O198" i="2"/>
  <c r="O202" i="2"/>
  <c r="D202" i="2"/>
  <c r="D201" i="2" s="1"/>
  <c r="D198" i="2"/>
  <c r="U202" i="2"/>
  <c r="U198" i="2"/>
  <c r="Q192" i="2"/>
  <c r="V198" i="2"/>
  <c r="V202" i="2"/>
  <c r="L202" i="2"/>
  <c r="L198" i="2"/>
  <c r="U192" i="2"/>
  <c r="H202" i="2"/>
  <c r="H198" i="2"/>
  <c r="N198" i="2"/>
  <c r="N202" i="2"/>
  <c r="M198" i="2"/>
  <c r="M202" i="2"/>
  <c r="I202" i="2"/>
  <c r="I198" i="2"/>
  <c r="J202" i="2"/>
  <c r="J198" i="2"/>
  <c r="P202" i="2"/>
  <c r="P198" i="2"/>
  <c r="K201" i="2"/>
  <c r="K220" i="2"/>
  <c r="E197" i="2"/>
  <c r="T197" i="2"/>
  <c r="V192" i="2"/>
  <c r="B197" i="2"/>
  <c r="U129" i="2"/>
  <c r="P192" i="2"/>
  <c r="K129" i="2"/>
  <c r="F192" i="2"/>
  <c r="F197" i="2"/>
  <c r="D116" i="2"/>
  <c r="M116" i="2"/>
  <c r="E116" i="2"/>
  <c r="K116" i="2"/>
  <c r="F129" i="2"/>
  <c r="P129" i="2"/>
  <c r="Z128" i="2"/>
  <c r="AA128" i="2" s="1"/>
  <c r="AB128" i="2" s="1"/>
  <c r="AC128" i="2" s="1"/>
  <c r="V129" i="2"/>
  <c r="T129" i="2"/>
  <c r="F116" i="2"/>
  <c r="R129" i="2"/>
  <c r="P116" i="2"/>
  <c r="L116" i="2"/>
  <c r="Q116" i="2"/>
  <c r="R116" i="2"/>
  <c r="S202" i="2" l="1"/>
  <c r="S201" i="2" s="1"/>
  <c r="C198" i="2"/>
  <c r="L129" i="2"/>
  <c r="N129" i="2"/>
  <c r="R198" i="2"/>
  <c r="O129" i="2"/>
  <c r="G198" i="2"/>
  <c r="D220" i="2"/>
  <c r="G19" i="5"/>
  <c r="I19" i="5"/>
  <c r="H19" i="5"/>
  <c r="F19" i="5"/>
  <c r="J19" i="5"/>
  <c r="M129" i="2"/>
  <c r="T202" i="2"/>
  <c r="T198" i="2"/>
  <c r="P201" i="2"/>
  <c r="P220" i="2"/>
  <c r="R201" i="2"/>
  <c r="R220" i="2"/>
  <c r="B202" i="2"/>
  <c r="B220" i="2" s="1"/>
  <c r="B198" i="2"/>
  <c r="L201" i="2"/>
  <c r="L220" i="2"/>
  <c r="E202" i="2"/>
  <c r="E198" i="2"/>
  <c r="U201" i="2"/>
  <c r="U220" i="2"/>
  <c r="J201" i="2"/>
  <c r="J220" i="2"/>
  <c r="F202" i="2"/>
  <c r="F220" i="2" s="1"/>
  <c r="F198" i="2"/>
  <c r="G220" i="2"/>
  <c r="G201" i="2"/>
  <c r="O201" i="2"/>
  <c r="O220" i="2"/>
  <c r="I201" i="2"/>
  <c r="I220" i="2"/>
  <c r="M201" i="2"/>
  <c r="M220" i="2"/>
  <c r="Q220" i="2"/>
  <c r="Q201" i="2"/>
  <c r="N201" i="2"/>
  <c r="N220" i="2"/>
  <c r="H220" i="2"/>
  <c r="H201" i="2"/>
  <c r="V201" i="2"/>
  <c r="V220" i="2"/>
  <c r="C201" i="2"/>
  <c r="F3" i="3"/>
  <c r="I3" i="3"/>
  <c r="H3" i="3"/>
  <c r="G3" i="3"/>
  <c r="N3" i="3"/>
  <c r="M3" i="3"/>
  <c r="L3" i="3"/>
  <c r="K3" i="3"/>
  <c r="R3" i="3"/>
  <c r="S3" i="3"/>
  <c r="Q3" i="3"/>
  <c r="P3" i="3"/>
  <c r="Y2" i="3"/>
  <c r="Y10" i="3" s="1"/>
  <c r="S220" i="2" l="1"/>
  <c r="B201" i="2"/>
  <c r="F201" i="2"/>
  <c r="E201" i="2"/>
  <c r="E220" i="2"/>
  <c r="T201" i="2"/>
  <c r="T220" i="2"/>
  <c r="Z39" i="2"/>
  <c r="AB44" i="2"/>
  <c r="AC44" i="2"/>
  <c r="AA44" i="2"/>
  <c r="H6" i="3"/>
  <c r="H8" i="3" s="1"/>
  <c r="G6" i="3"/>
  <c r="G8" i="3" s="1"/>
  <c r="F6" i="3"/>
  <c r="F8" i="3" s="1"/>
  <c r="X8" i="3"/>
  <c r="W8" i="3"/>
  <c r="V8" i="3"/>
  <c r="T8" i="3"/>
  <c r="S8" i="3"/>
  <c r="R8" i="3"/>
  <c r="Q8" i="3"/>
  <c r="P8" i="3"/>
  <c r="J8" i="3"/>
  <c r="T6" i="3"/>
  <c r="S6" i="3"/>
  <c r="R6" i="3"/>
  <c r="Q6" i="3"/>
  <c r="P6" i="3"/>
  <c r="O6" i="3"/>
  <c r="O8" i="3" s="1"/>
  <c r="N6" i="3"/>
  <c r="N8" i="3" s="1"/>
  <c r="M6" i="3"/>
  <c r="M8" i="3" s="1"/>
  <c r="L6" i="3"/>
  <c r="L8" i="3" s="1"/>
  <c r="K6" i="3"/>
  <c r="K8" i="3" s="1"/>
  <c r="J6" i="3"/>
  <c r="I6" i="3" s="1"/>
  <c r="I8" i="3" s="1"/>
  <c r="E6" i="3"/>
  <c r="E8" i="3" s="1"/>
  <c r="D6" i="3"/>
  <c r="D8" i="3" s="1"/>
  <c r="C6" i="3"/>
  <c r="C8" i="3" s="1"/>
  <c r="B6" i="3"/>
  <c r="B8" i="3" s="1"/>
  <c r="U63" i="2" l="1"/>
  <c r="U67" i="2"/>
  <c r="R67" i="2"/>
  <c r="S67" i="2"/>
  <c r="T67" i="2"/>
  <c r="Q67" i="2"/>
  <c r="P67" i="2"/>
  <c r="M67" i="2"/>
  <c r="N67" i="2"/>
  <c r="O67" i="2"/>
  <c r="L67" i="2"/>
  <c r="K67" i="2"/>
  <c r="D67" i="2"/>
  <c r="E67" i="2"/>
  <c r="F67" i="2"/>
  <c r="C67" i="2"/>
  <c r="V6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S22" i="2"/>
  <c r="S23" i="2" s="1"/>
  <c r="T22" i="2"/>
  <c r="T23" i="2" s="1"/>
  <c r="R22" i="2"/>
  <c r="Z32" i="2"/>
  <c r="Y25" i="2"/>
  <c r="X25" i="2"/>
  <c r="R4" i="2"/>
  <c r="S4" i="2"/>
  <c r="T4" i="2"/>
  <c r="Q4" i="2"/>
  <c r="M4" i="2"/>
  <c r="N4" i="2"/>
  <c r="O4" i="2"/>
  <c r="L4" i="2"/>
  <c r="H4" i="2"/>
  <c r="I4" i="2"/>
  <c r="J4" i="2"/>
  <c r="G4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Z45" i="2"/>
  <c r="V6" i="2"/>
  <c r="T6" i="2"/>
  <c r="S6" i="2"/>
  <c r="R6" i="2"/>
  <c r="Q6" i="2"/>
  <c r="M6" i="2"/>
  <c r="N6" i="2"/>
  <c r="O6" i="2"/>
  <c r="L6" i="2"/>
  <c r="U40" i="2"/>
  <c r="T40" i="2"/>
  <c r="T131" i="2" s="1"/>
  <c r="S40" i="2"/>
  <c r="S131" i="2" s="1"/>
  <c r="R40" i="2"/>
  <c r="R131" i="2" s="1"/>
  <c r="Q40" i="2"/>
  <c r="Q131" i="2" s="1"/>
  <c r="O40" i="2"/>
  <c r="O131" i="2" s="1"/>
  <c r="N40" i="2"/>
  <c r="N131" i="2" s="1"/>
  <c r="M40" i="2"/>
  <c r="M131" i="2" s="1"/>
  <c r="L40" i="2"/>
  <c r="L131" i="2" s="1"/>
  <c r="J40" i="2"/>
  <c r="J131" i="2" s="1"/>
  <c r="I40" i="2"/>
  <c r="I131" i="2" s="1"/>
  <c r="H40" i="2"/>
  <c r="H131" i="2" s="1"/>
  <c r="G40" i="2"/>
  <c r="G131" i="2" s="1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Q23" i="2"/>
  <c r="V23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V46" i="2"/>
  <c r="Z46" i="2" s="1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T55" i="2"/>
  <c r="T132" i="2" s="1"/>
  <c r="S55" i="2"/>
  <c r="S132" i="2" s="1"/>
  <c r="R55" i="2"/>
  <c r="R132" i="2" s="1"/>
  <c r="Q55" i="2"/>
  <c r="Q132" i="2" s="1"/>
  <c r="O55" i="2"/>
  <c r="O132" i="2" s="1"/>
  <c r="N55" i="2"/>
  <c r="N132" i="2" s="1"/>
  <c r="M55" i="2"/>
  <c r="M132" i="2" s="1"/>
  <c r="L55" i="2"/>
  <c r="L132" i="2" s="1"/>
  <c r="H55" i="2"/>
  <c r="H132" i="2" s="1"/>
  <c r="I55" i="2"/>
  <c r="I132" i="2" s="1"/>
  <c r="J55" i="2"/>
  <c r="J132" i="2" s="1"/>
  <c r="G55" i="2"/>
  <c r="G132" i="2" s="1"/>
  <c r="P22" i="2"/>
  <c r="P23" i="2" s="1"/>
  <c r="O22" i="2"/>
  <c r="O23" i="2" s="1"/>
  <c r="N22" i="2"/>
  <c r="N23" i="2" s="1"/>
  <c r="M22" i="2"/>
  <c r="M23" i="2" s="1"/>
  <c r="L22" i="2"/>
  <c r="L23" i="2" s="1"/>
  <c r="K22" i="2"/>
  <c r="K23" i="2" s="1"/>
  <c r="J22" i="2"/>
  <c r="J23" i="2" s="1"/>
  <c r="I22" i="2"/>
  <c r="I23" i="2" s="1"/>
  <c r="H22" i="2"/>
  <c r="H23" i="2" s="1"/>
  <c r="G22" i="2"/>
  <c r="G23" i="2" s="1"/>
  <c r="F22" i="2"/>
  <c r="F23" i="2" s="1"/>
  <c r="E22" i="2"/>
  <c r="E23" i="2" s="1"/>
  <c r="D22" i="2"/>
  <c r="D23" i="2" s="1"/>
  <c r="C22" i="2"/>
  <c r="C23" i="2" s="1"/>
  <c r="B22" i="2"/>
  <c r="B23" i="2" s="1"/>
  <c r="V14" i="2"/>
  <c r="U14" i="2"/>
  <c r="T14" i="2"/>
  <c r="Y14" i="2" s="1"/>
  <c r="S14" i="2"/>
  <c r="X14" i="2" s="1"/>
  <c r="R14" i="2"/>
  <c r="Q14" i="2"/>
  <c r="P14" i="2"/>
  <c r="O14" i="2"/>
  <c r="N14" i="2"/>
  <c r="M14" i="2"/>
  <c r="L14" i="2"/>
  <c r="K14" i="2"/>
  <c r="J14" i="2"/>
  <c r="I14" i="2"/>
  <c r="H14" i="2"/>
  <c r="G14" i="2"/>
  <c r="I9" i="5" l="1"/>
  <c r="I10" i="5" s="1"/>
  <c r="U190" i="2"/>
  <c r="T133" i="2"/>
  <c r="T134" i="2" s="1"/>
  <c r="G133" i="2"/>
  <c r="G134" i="2" s="1"/>
  <c r="H133" i="2"/>
  <c r="H134" i="2" s="1"/>
  <c r="Q133" i="2"/>
  <c r="Q134" i="2" s="1"/>
  <c r="N133" i="2"/>
  <c r="N134" i="2" s="1"/>
  <c r="J133" i="2"/>
  <c r="J134" i="2" s="1"/>
  <c r="R133" i="2"/>
  <c r="R134" i="2" s="1"/>
  <c r="U118" i="2"/>
  <c r="U119" i="2" s="1"/>
  <c r="U120" i="2" s="1"/>
  <c r="U131" i="2"/>
  <c r="M133" i="2"/>
  <c r="M134" i="2" s="1"/>
  <c r="O133" i="2"/>
  <c r="O134" i="2" s="1"/>
  <c r="S133" i="2"/>
  <c r="S134" i="2" s="1"/>
  <c r="I133" i="2"/>
  <c r="I134" i="2" s="1"/>
  <c r="L133" i="2"/>
  <c r="L134" i="2" s="1"/>
  <c r="Z66" i="2"/>
  <c r="AA66" i="2" s="1"/>
  <c r="AB66" i="2" s="1"/>
  <c r="AC66" i="2" s="1"/>
  <c r="I41" i="2"/>
  <c r="I118" i="2"/>
  <c r="J41" i="2"/>
  <c r="J118" i="2"/>
  <c r="O41" i="2"/>
  <c r="O118" i="2"/>
  <c r="R41" i="2"/>
  <c r="R118" i="2"/>
  <c r="T41" i="2"/>
  <c r="T118" i="2"/>
  <c r="R23" i="2"/>
  <c r="U22" i="2"/>
  <c r="U23" i="2" s="1"/>
  <c r="H41" i="2"/>
  <c r="H118" i="2"/>
  <c r="L41" i="2"/>
  <c r="L42" i="2" s="1"/>
  <c r="L118" i="2"/>
  <c r="M41" i="2"/>
  <c r="M42" i="2" s="1"/>
  <c r="M118" i="2"/>
  <c r="N41" i="2"/>
  <c r="N118" i="2"/>
  <c r="Q41" i="2"/>
  <c r="Q42" i="2" s="1"/>
  <c r="Q118" i="2"/>
  <c r="S41" i="2"/>
  <c r="S118" i="2"/>
  <c r="Z6" i="2"/>
  <c r="K4" i="5"/>
  <c r="V40" i="2"/>
  <c r="V131" i="2" s="1"/>
  <c r="Z27" i="2"/>
  <c r="G41" i="2"/>
  <c r="G118" i="2"/>
  <c r="V50" i="2"/>
  <c r="V55" i="2" s="1"/>
  <c r="V132" i="2" s="1"/>
  <c r="Z44" i="2"/>
  <c r="V59" i="2"/>
  <c r="V62" i="2" s="1"/>
  <c r="V63" i="2" s="1"/>
  <c r="R15" i="2"/>
  <c r="S15" i="2"/>
  <c r="U15" i="2"/>
  <c r="V15" i="2"/>
  <c r="L15" i="2"/>
  <c r="M15" i="2"/>
  <c r="N15" i="2"/>
  <c r="O15" i="2"/>
  <c r="Q15" i="2"/>
  <c r="T15" i="2"/>
  <c r="X13" i="2"/>
  <c r="Y22" i="2"/>
  <c r="Y21" i="2" s="1"/>
  <c r="P15" i="2"/>
  <c r="U59" i="2"/>
  <c r="F59" i="2"/>
  <c r="E59" i="2"/>
  <c r="D59" i="2"/>
  <c r="C59" i="2"/>
  <c r="B59" i="2"/>
  <c r="I20" i="5" l="1"/>
  <c r="K5" i="5"/>
  <c r="K19" i="5"/>
  <c r="W202" i="2"/>
  <c r="W220" i="2" s="1"/>
  <c r="Z197" i="2"/>
  <c r="AA191" i="2"/>
  <c r="AA194" i="2"/>
  <c r="N119" i="2"/>
  <c r="N120" i="2" s="1"/>
  <c r="L135" i="2"/>
  <c r="N42" i="2"/>
  <c r="M119" i="2"/>
  <c r="M120" i="2" s="1"/>
  <c r="O42" i="2"/>
  <c r="M135" i="2"/>
  <c r="T42" i="2"/>
  <c r="N135" i="2"/>
  <c r="S135" i="2"/>
  <c r="V133" i="2"/>
  <c r="V134" i="2" s="1"/>
  <c r="V135" i="2" s="1"/>
  <c r="Q135" i="2"/>
  <c r="R135" i="2"/>
  <c r="U133" i="2"/>
  <c r="U134" i="2" s="1"/>
  <c r="J119" i="2"/>
  <c r="Z67" i="2"/>
  <c r="R119" i="2"/>
  <c r="R120" i="2" s="1"/>
  <c r="S119" i="2"/>
  <c r="S120" i="2" s="1"/>
  <c r="L119" i="2"/>
  <c r="L120" i="2" s="1"/>
  <c r="O119" i="2"/>
  <c r="O120" i="2" s="1"/>
  <c r="Q119" i="2"/>
  <c r="Q120" i="2" s="1"/>
  <c r="T119" i="2"/>
  <c r="T120" i="2" s="1"/>
  <c r="S42" i="2"/>
  <c r="R42" i="2"/>
  <c r="V41" i="2"/>
  <c r="V42" i="2" s="1"/>
  <c r="V118" i="2"/>
  <c r="AB3" i="2"/>
  <c r="L4" i="5" s="1"/>
  <c r="AA36" i="2"/>
  <c r="AA22" i="2"/>
  <c r="AA21" i="2" s="1"/>
  <c r="AA28" i="2"/>
  <c r="Y13" i="2"/>
  <c r="Y28" i="2"/>
  <c r="X22" i="2"/>
  <c r="X21" i="2" s="1"/>
  <c r="X36" i="2"/>
  <c r="Y36" i="2"/>
  <c r="X28" i="2"/>
  <c r="C55" i="2"/>
  <c r="C132" i="2" s="1"/>
  <c r="D55" i="2"/>
  <c r="D132" i="2" s="1"/>
  <c r="E55" i="2"/>
  <c r="E132" i="2" s="1"/>
  <c r="F55" i="2"/>
  <c r="F132" i="2" s="1"/>
  <c r="K55" i="2"/>
  <c r="K132" i="2" s="1"/>
  <c r="P55" i="2"/>
  <c r="P132" i="2" s="1"/>
  <c r="U55" i="2"/>
  <c r="U132" i="2" s="1"/>
  <c r="B55" i="2"/>
  <c r="K40" i="2"/>
  <c r="F40" i="2"/>
  <c r="E40" i="2"/>
  <c r="E131" i="2" s="1"/>
  <c r="D40" i="2"/>
  <c r="D131" i="2" s="1"/>
  <c r="C40" i="2"/>
  <c r="C131" i="2" s="1"/>
  <c r="P40" i="2"/>
  <c r="P190" i="2" s="1"/>
  <c r="U41" i="2"/>
  <c r="Z198" i="2" l="1"/>
  <c r="X40" i="2"/>
  <c r="X41" i="2" s="1"/>
  <c r="X42" i="2" s="1"/>
  <c r="Z13" i="2"/>
  <c r="Z14" i="2" s="1"/>
  <c r="AA14" i="2" s="1"/>
  <c r="Y40" i="2"/>
  <c r="Y41" i="2" s="1"/>
  <c r="Y42" i="2" s="1"/>
  <c r="Z202" i="2"/>
  <c r="Z201" i="2" s="1"/>
  <c r="Q136" i="2"/>
  <c r="Q137" i="2"/>
  <c r="V137" i="2"/>
  <c r="V136" i="2"/>
  <c r="N136" i="2"/>
  <c r="N137" i="2"/>
  <c r="F131" i="2"/>
  <c r="F9" i="5"/>
  <c r="K131" i="2"/>
  <c r="G9" i="5"/>
  <c r="P131" i="2"/>
  <c r="P133" i="2" s="1"/>
  <c r="P134" i="2" s="1"/>
  <c r="P135" i="2" s="1"/>
  <c r="H9" i="5"/>
  <c r="S136" i="2"/>
  <c r="S137" i="2"/>
  <c r="M136" i="2"/>
  <c r="M137" i="2"/>
  <c r="R136" i="2"/>
  <c r="R137" i="2"/>
  <c r="L137" i="2"/>
  <c r="L136" i="2"/>
  <c r="L5" i="5"/>
  <c r="L19" i="5"/>
  <c r="AA197" i="2"/>
  <c r="AA198" i="2" s="1"/>
  <c r="AB191" i="2"/>
  <c r="AB194" i="2"/>
  <c r="V119" i="2"/>
  <c r="V120" i="2" s="1"/>
  <c r="T135" i="2"/>
  <c r="U135" i="2"/>
  <c r="D133" i="2"/>
  <c r="D134" i="2" s="1"/>
  <c r="D135" i="2" s="1"/>
  <c r="E133" i="2"/>
  <c r="E134" i="2"/>
  <c r="E135" i="2" s="1"/>
  <c r="F133" i="2"/>
  <c r="F134" i="2" s="1"/>
  <c r="F135" i="2" s="1"/>
  <c r="C133" i="2"/>
  <c r="C134" i="2" s="1"/>
  <c r="C135" i="2" s="1"/>
  <c r="K133" i="2"/>
  <c r="K134" i="2" s="1"/>
  <c r="K135" i="2" s="1"/>
  <c r="Z36" i="2"/>
  <c r="Z37" i="2" s="1"/>
  <c r="C41" i="2"/>
  <c r="C42" i="2" s="1"/>
  <c r="C118" i="2"/>
  <c r="D41" i="2"/>
  <c r="D118" i="2"/>
  <c r="E41" i="2"/>
  <c r="E118" i="2"/>
  <c r="P41" i="2"/>
  <c r="P118" i="2"/>
  <c r="P119" i="2" s="1"/>
  <c r="P120" i="2" s="1"/>
  <c r="Z21" i="2"/>
  <c r="Z22" i="2"/>
  <c r="Z23" i="2" s="1"/>
  <c r="F41" i="2"/>
  <c r="F118" i="2"/>
  <c r="K41" i="2"/>
  <c r="K42" i="2" s="1"/>
  <c r="K118" i="2"/>
  <c r="K119" i="2" s="1"/>
  <c r="K120" i="2" s="1"/>
  <c r="J120" i="2" s="1"/>
  <c r="AB28" i="2"/>
  <c r="AB36" i="2"/>
  <c r="AC3" i="2"/>
  <c r="M4" i="5" s="1"/>
  <c r="AB22" i="2"/>
  <c r="Z28" i="2"/>
  <c r="Z29" i="2" s="1"/>
  <c r="F42" i="2" l="1"/>
  <c r="O135" i="2"/>
  <c r="O136" i="2" s="1"/>
  <c r="X131" i="2"/>
  <c r="X133" i="2" s="1"/>
  <c r="X134" i="2" s="1"/>
  <c r="X135" i="2" s="1"/>
  <c r="X137" i="2" s="1"/>
  <c r="X118" i="2"/>
  <c r="Y131" i="2"/>
  <c r="Y133" i="2" s="1"/>
  <c r="Y134" i="2" s="1"/>
  <c r="Y118" i="2"/>
  <c r="Z15" i="2"/>
  <c r="Z220" i="2"/>
  <c r="Z115" i="2" s="1"/>
  <c r="AA115" i="2" s="1"/>
  <c r="K136" i="2"/>
  <c r="K137" i="2"/>
  <c r="C136" i="2"/>
  <c r="C137" i="2"/>
  <c r="E137" i="2"/>
  <c r="E136" i="2"/>
  <c r="H10" i="5"/>
  <c r="H20" i="5"/>
  <c r="T136" i="2"/>
  <c r="T137" i="2"/>
  <c r="F137" i="2"/>
  <c r="F136" i="2"/>
  <c r="P137" i="2"/>
  <c r="P136" i="2"/>
  <c r="D136" i="2"/>
  <c r="D137" i="2"/>
  <c r="U137" i="2"/>
  <c r="U136" i="2"/>
  <c r="G10" i="5"/>
  <c r="G20" i="5"/>
  <c r="F10" i="5"/>
  <c r="F20" i="5"/>
  <c r="AA202" i="2"/>
  <c r="AA220" i="2" s="1"/>
  <c r="AB197" i="2"/>
  <c r="AB202" i="2" s="1"/>
  <c r="M5" i="5"/>
  <c r="M19" i="5"/>
  <c r="AC191" i="2"/>
  <c r="AC194" i="2"/>
  <c r="E42" i="2"/>
  <c r="D42" i="2"/>
  <c r="P42" i="2"/>
  <c r="AC22" i="2"/>
  <c r="AC36" i="2"/>
  <c r="AC28" i="2"/>
  <c r="U42" i="2"/>
  <c r="AB14" i="2"/>
  <c r="AA13" i="2"/>
  <c r="X12" i="2"/>
  <c r="X50" i="2" s="1"/>
  <c r="X54" i="2" s="1"/>
  <c r="X59" i="2" s="1"/>
  <c r="X62" i="2" s="1"/>
  <c r="Y12" i="2"/>
  <c r="Y50" i="2" s="1"/>
  <c r="AA12" i="2" l="1"/>
  <c r="O137" i="2"/>
  <c r="X136" i="2"/>
  <c r="AB198" i="2"/>
  <c r="AA201" i="2"/>
  <c r="AB220" i="2"/>
  <c r="AB201" i="2"/>
  <c r="AC197" i="2"/>
  <c r="AC14" i="2"/>
  <c r="AC13" i="2" s="1"/>
  <c r="AC12" i="2" s="1"/>
  <c r="AB13" i="2"/>
  <c r="AB12" i="2" s="1"/>
  <c r="W50" i="2"/>
  <c r="W62" i="2" s="1"/>
  <c r="Z12" i="2"/>
  <c r="Y54" i="2"/>
  <c r="AA40" i="2" l="1"/>
  <c r="AA131" i="2" s="1"/>
  <c r="AA133" i="2" s="1"/>
  <c r="AA134" i="2" s="1"/>
  <c r="AA135" i="2" s="1"/>
  <c r="AA50" i="2"/>
  <c r="AA54" i="2" s="1"/>
  <c r="AA59" i="2" s="1"/>
  <c r="Z54" i="2"/>
  <c r="Z50" i="2"/>
  <c r="AC198" i="2"/>
  <c r="AC202" i="2"/>
  <c r="AB40" i="2"/>
  <c r="AB50" i="2"/>
  <c r="AB54" i="2" s="1"/>
  <c r="AB59" i="2" s="1"/>
  <c r="AB62" i="2" s="1"/>
  <c r="L12" i="5" s="1"/>
  <c r="AC40" i="2"/>
  <c r="AC50" i="2"/>
  <c r="AC54" i="2" s="1"/>
  <c r="AC59" i="2" s="1"/>
  <c r="AC62" i="2" s="1"/>
  <c r="Y59" i="2"/>
  <c r="K9" i="5" l="1"/>
  <c r="K10" i="5" s="1"/>
  <c r="AA118" i="2"/>
  <c r="AA120" i="2" s="1"/>
  <c r="AA41" i="2"/>
  <c r="AA62" i="2"/>
  <c r="C19" i="5" s="1"/>
  <c r="C21" i="5" s="1"/>
  <c r="M9" i="5"/>
  <c r="M10" i="5" s="1"/>
  <c r="M12" i="5"/>
  <c r="M21" i="5" s="1"/>
  <c r="C35" i="5"/>
  <c r="C36" i="5" s="1"/>
  <c r="G31" i="5" s="1"/>
  <c r="Z55" i="2"/>
  <c r="Z132" i="2" s="1"/>
  <c r="L16" i="5"/>
  <c r="L21" i="5"/>
  <c r="AB131" i="2"/>
  <c r="AB133" i="2" s="1"/>
  <c r="AB134" i="2" s="1"/>
  <c r="AB135" i="2" s="1"/>
  <c r="L9" i="5"/>
  <c r="AA136" i="2"/>
  <c r="AA137" i="2"/>
  <c r="AC201" i="2"/>
  <c r="AC220" i="2"/>
  <c r="AC41" i="2"/>
  <c r="AC118" i="2"/>
  <c r="AC131" i="2"/>
  <c r="AC133" i="2" s="1"/>
  <c r="AC134" i="2" s="1"/>
  <c r="AC135" i="2" s="1"/>
  <c r="AC63" i="2"/>
  <c r="AB41" i="2"/>
  <c r="AB118" i="2"/>
  <c r="Z59" i="2"/>
  <c r="Z62" i="2" s="1"/>
  <c r="AC64" i="2" s="1"/>
  <c r="Y62" i="2"/>
  <c r="K20" i="5" l="1"/>
  <c r="AB42" i="2"/>
  <c r="AB63" i="2"/>
  <c r="K12" i="5"/>
  <c r="L13" i="5" s="1"/>
  <c r="M20" i="5"/>
  <c r="C26" i="5"/>
  <c r="C28" i="5" s="1"/>
  <c r="M13" i="5"/>
  <c r="S3" i="5"/>
  <c r="T3" i="5" s="1"/>
  <c r="S4" i="5"/>
  <c r="T4" i="5" s="1"/>
  <c r="S26" i="5"/>
  <c r="T26" i="5" s="1"/>
  <c r="S28" i="5"/>
  <c r="T28" i="5" s="1"/>
  <c r="S7" i="5"/>
  <c r="T7" i="5" s="1"/>
  <c r="S8" i="5"/>
  <c r="T8" i="5" s="1"/>
  <c r="S9" i="5"/>
  <c r="T9" i="5" s="1"/>
  <c r="S10" i="5"/>
  <c r="T10" i="5" s="1"/>
  <c r="S11" i="5"/>
  <c r="T11" i="5" s="1"/>
  <c r="S34" i="5"/>
  <c r="T34" i="5" s="1"/>
  <c r="S35" i="5"/>
  <c r="T35" i="5" s="1"/>
  <c r="S14" i="5"/>
  <c r="T14" i="5" s="1"/>
  <c r="S16" i="5"/>
  <c r="T16" i="5" s="1"/>
  <c r="S5" i="5"/>
  <c r="T5" i="5" s="1"/>
  <c r="S27" i="5"/>
  <c r="T27" i="5" s="1"/>
  <c r="S6" i="5"/>
  <c r="T6" i="5" s="1"/>
  <c r="S29" i="5"/>
  <c r="T29" i="5" s="1"/>
  <c r="S30" i="5"/>
  <c r="T30" i="5" s="1"/>
  <c r="S31" i="5"/>
  <c r="T31" i="5" s="1"/>
  <c r="S32" i="5"/>
  <c r="T32" i="5" s="1"/>
  <c r="S33" i="5"/>
  <c r="T33" i="5" s="1"/>
  <c r="S12" i="5"/>
  <c r="T12" i="5" s="1"/>
  <c r="S13" i="5"/>
  <c r="T13" i="5" s="1"/>
  <c r="S36" i="5"/>
  <c r="T36" i="5" s="1"/>
  <c r="S15" i="5"/>
  <c r="T15" i="5" s="1"/>
  <c r="S18" i="5"/>
  <c r="T18" i="5" s="1"/>
  <c r="S19" i="5"/>
  <c r="T19" i="5" s="1"/>
  <c r="S20" i="5"/>
  <c r="T20" i="5" s="1"/>
  <c r="S21" i="5"/>
  <c r="T21" i="5" s="1"/>
  <c r="S23" i="5"/>
  <c r="T23" i="5" s="1"/>
  <c r="S24" i="5"/>
  <c r="T24" i="5" s="1"/>
  <c r="S25" i="5"/>
  <c r="T25" i="5" s="1"/>
  <c r="S17" i="5"/>
  <c r="T17" i="5" s="1"/>
  <c r="S22" i="5"/>
  <c r="T22" i="5" s="1"/>
  <c r="C22" i="5"/>
  <c r="C23" i="5" s="1"/>
  <c r="Z63" i="2"/>
  <c r="J12" i="5"/>
  <c r="L10" i="5"/>
  <c r="L20" i="5"/>
  <c r="AC136" i="2"/>
  <c r="AC137" i="2"/>
  <c r="AB137" i="2"/>
  <c r="AB136" i="2"/>
  <c r="AC42" i="2"/>
  <c r="AA63" i="2"/>
  <c r="C14" i="2"/>
  <c r="D14" i="2"/>
  <c r="E14" i="2"/>
  <c r="F14" i="2"/>
  <c r="B14" i="2"/>
  <c r="D6" i="2"/>
  <c r="E6" i="2"/>
  <c r="F6" i="2"/>
  <c r="F5" i="5" s="1"/>
  <c r="F7" i="5" s="1"/>
  <c r="K6" i="2"/>
  <c r="P6" i="2"/>
  <c r="U6" i="2"/>
  <c r="C6" i="2"/>
  <c r="K21" i="5" l="1"/>
  <c r="K16" i="5"/>
  <c r="V3" i="5"/>
  <c r="V8" i="5"/>
  <c r="V30" i="5"/>
  <c r="V9" i="5"/>
  <c r="V31" i="5"/>
  <c r="V10" i="5"/>
  <c r="V32" i="5"/>
  <c r="V11" i="5"/>
  <c r="V33" i="5"/>
  <c r="V12" i="5"/>
  <c r="V34" i="5"/>
  <c r="V13" i="5"/>
  <c r="V35" i="5"/>
  <c r="V14" i="5"/>
  <c r="V36" i="5"/>
  <c r="V15" i="5"/>
  <c r="V16" i="5"/>
  <c r="V17" i="5"/>
  <c r="V18" i="5"/>
  <c r="V19" i="5"/>
  <c r="V20" i="5"/>
  <c r="V21" i="5"/>
  <c r="V22" i="5"/>
  <c r="V23" i="5"/>
  <c r="V24" i="5"/>
  <c r="V25" i="5"/>
  <c r="V4" i="5"/>
  <c r="V26" i="5"/>
  <c r="V5" i="5"/>
  <c r="V27" i="5"/>
  <c r="V6" i="5"/>
  <c r="V28" i="5"/>
  <c r="V7" i="5"/>
  <c r="V29" i="5"/>
  <c r="C30" i="5"/>
  <c r="E15" i="2"/>
  <c r="U8" i="5"/>
  <c r="U24" i="5"/>
  <c r="U23" i="5"/>
  <c r="U6" i="5"/>
  <c r="U17" i="5"/>
  <c r="U26" i="5"/>
  <c r="U15" i="5"/>
  <c r="U4" i="5"/>
  <c r="U16" i="5"/>
  <c r="U22" i="5"/>
  <c r="U21" i="5"/>
  <c r="U19" i="5"/>
  <c r="U3" i="5"/>
  <c r="U34" i="5"/>
  <c r="U12" i="5"/>
  <c r="U33" i="5"/>
  <c r="U11" i="5"/>
  <c r="U7" i="5"/>
  <c r="U28" i="5"/>
  <c r="U5" i="5"/>
  <c r="U36" i="5"/>
  <c r="U20" i="5"/>
  <c r="U9" i="5"/>
  <c r="U29" i="5"/>
  <c r="U27" i="5"/>
  <c r="U18" i="5"/>
  <c r="U14" i="5"/>
  <c r="U35" i="5"/>
  <c r="U13" i="5"/>
  <c r="U32" i="5"/>
  <c r="U10" i="5"/>
  <c r="U31" i="5"/>
  <c r="C29" i="5"/>
  <c r="U25" i="5"/>
  <c r="U30" i="5"/>
  <c r="F31" i="5"/>
  <c r="E32" i="5" s="1"/>
  <c r="J16" i="5"/>
  <c r="J21" i="5"/>
  <c r="J13" i="5"/>
  <c r="K13" i="5"/>
  <c r="C15" i="2"/>
  <c r="F15" i="2"/>
  <c r="K15" i="2"/>
  <c r="D15" i="2"/>
  <c r="W118" i="2" l="1"/>
  <c r="Y119" i="2" s="1"/>
  <c r="Z40" i="2"/>
  <c r="W41" i="2"/>
  <c r="W42" i="2" s="1"/>
  <c r="Z118" i="2" l="1"/>
  <c r="Z119" i="2" s="1"/>
  <c r="J9" i="5"/>
  <c r="J10" i="5" s="1"/>
  <c r="X119" i="2"/>
  <c r="Z131" i="2"/>
  <c r="W119" i="2"/>
  <c r="Z41" i="2"/>
  <c r="Z42" i="2" s="1"/>
  <c r="Y135" i="2"/>
  <c r="Z120" i="2" l="1"/>
  <c r="J20" i="5"/>
  <c r="AA42" i="2"/>
  <c r="W135" i="2"/>
  <c r="W137" i="2" s="1"/>
  <c r="Z133" i="2"/>
  <c r="Z134" i="2" s="1"/>
  <c r="Z135" i="2" s="1"/>
  <c r="Y136" i="2"/>
  <c r="Y137" i="2"/>
  <c r="W136" i="2" l="1"/>
  <c r="Z137" i="2"/>
  <c r="Z136" i="2"/>
</calcChain>
</file>

<file path=xl/sharedStrings.xml><?xml version="1.0" encoding="utf-8"?>
<sst xmlns="http://schemas.openxmlformats.org/spreadsheetml/2006/main" count="384" uniqueCount="298">
  <si>
    <t>30 SEP '24</t>
  </si>
  <si>
    <t>30 SEP '23</t>
  </si>
  <si>
    <t>30 SEP '22</t>
  </si>
  <si>
    <t>30 SEP '21</t>
  </si>
  <si>
    <t>30 SEP '20</t>
  </si>
  <si>
    <t>30 SEP '19</t>
  </si>
  <si>
    <t>30 SEP '18</t>
  </si>
  <si>
    <t>30 SEP '17</t>
  </si>
  <si>
    <t>Revenues</t>
  </si>
  <si>
    <t>Cost of revenues</t>
  </si>
  <si>
    <t>Gross profit</t>
  </si>
  <si>
    <t>General and administrative expenses</t>
  </si>
  <si>
    <t>General and administrative expenses excluding acquisition-related expenses</t>
  </si>
  <si>
    <t>Acquisition-related expenses</t>
  </si>
  <si>
    <t>Settlement income</t>
  </si>
  <si>
    <t>Gain on sale of equipment, net</t>
  </si>
  <si>
    <t>Gain on facility exchange</t>
  </si>
  <si>
    <t>Operating income</t>
  </si>
  <si>
    <t>Interest expense, net</t>
  </si>
  <si>
    <t>Loss on extinguishment of debt</t>
  </si>
  <si>
    <t>Other income / expense</t>
  </si>
  <si>
    <t>Income before provision / benefit for income taxes and earnings from investment in joint venture</t>
  </si>
  <si>
    <t>Provision / benefit for income taxes</t>
  </si>
  <si>
    <t>Earnings from investment in joint venture</t>
  </si>
  <si>
    <t>Net income / loss</t>
  </si>
  <si>
    <t>Per share</t>
  </si>
  <si>
    <t>Diluted</t>
  </si>
  <si>
    <t>Weighted average shares</t>
  </si>
  <si>
    <t>Income Statement</t>
    <phoneticPr fontId="4" type="noConversion"/>
  </si>
  <si>
    <t xml:space="preserve">    yoy</t>
    <phoneticPr fontId="4" type="noConversion"/>
  </si>
  <si>
    <t>Gross Profit Margin</t>
    <phoneticPr fontId="4" type="noConversion"/>
  </si>
  <si>
    <t>bull</t>
    <phoneticPr fontId="4" type="noConversion"/>
  </si>
  <si>
    <t>base</t>
    <phoneticPr fontId="4" type="noConversion"/>
  </si>
  <si>
    <t>bear</t>
    <phoneticPr fontId="4" type="noConversion"/>
  </si>
  <si>
    <t xml:space="preserve">    change in bps</t>
    <phoneticPr fontId="4" type="noConversion"/>
  </si>
  <si>
    <t>Adjusted EBITDA</t>
    <phoneticPr fontId="4" type="noConversion"/>
  </si>
  <si>
    <t>Adjusted EBITDA Margin</t>
    <phoneticPr fontId="4" type="noConversion"/>
  </si>
  <si>
    <t>Depreciation &amp; Amortization</t>
    <phoneticPr fontId="4" type="noConversion"/>
  </si>
  <si>
    <t>Tax Impact due to Reconciling Items</t>
    <phoneticPr fontId="4" type="noConversion"/>
  </si>
  <si>
    <t xml:space="preserve">    Tax Rate</t>
    <phoneticPr fontId="4" type="noConversion"/>
  </si>
  <si>
    <t>Adjusted Net Income</t>
    <phoneticPr fontId="4" type="noConversion"/>
  </si>
  <si>
    <t>Q1 2022</t>
    <phoneticPr fontId="4" type="noConversion"/>
  </si>
  <si>
    <t>Q2 2022</t>
    <phoneticPr fontId="4" type="noConversion"/>
  </si>
  <si>
    <t>Q3 2022</t>
    <phoneticPr fontId="4" type="noConversion"/>
  </si>
  <si>
    <t>Q4 2022</t>
    <phoneticPr fontId="4" type="noConversion"/>
  </si>
  <si>
    <t>Q1 2023</t>
    <phoneticPr fontId="4" type="noConversion"/>
  </si>
  <si>
    <t>Q2 2023</t>
    <phoneticPr fontId="4" type="noConversion"/>
  </si>
  <si>
    <t>Q3 2023</t>
    <phoneticPr fontId="4" type="noConversion"/>
  </si>
  <si>
    <t>Q4 2023</t>
    <phoneticPr fontId="4" type="noConversion"/>
  </si>
  <si>
    <t>Q1 2024</t>
    <phoneticPr fontId="4" type="noConversion"/>
  </si>
  <si>
    <t>Q2 2024</t>
    <phoneticPr fontId="4" type="noConversion"/>
  </si>
  <si>
    <t>Q3 2024</t>
    <phoneticPr fontId="4" type="noConversion"/>
  </si>
  <si>
    <t>Q4 2024</t>
    <phoneticPr fontId="4" type="noConversion"/>
  </si>
  <si>
    <t>Q1 2025</t>
    <phoneticPr fontId="4" type="noConversion"/>
  </si>
  <si>
    <t>Q2 2025</t>
    <phoneticPr fontId="4" type="noConversion"/>
  </si>
  <si>
    <t>Q3 2025</t>
    <phoneticPr fontId="4" type="noConversion"/>
  </si>
  <si>
    <t>Q4 2025</t>
    <phoneticPr fontId="4" type="noConversion"/>
  </si>
  <si>
    <t xml:space="preserve">Total Tax </t>
    <phoneticPr fontId="4" type="noConversion"/>
  </si>
  <si>
    <t xml:space="preserve">    Financing Fee</t>
    <phoneticPr fontId="4" type="noConversion"/>
  </si>
  <si>
    <t>Non-GAAP Interest Expense, net</t>
    <phoneticPr fontId="4" type="noConversion"/>
  </si>
  <si>
    <t>Non-GAAP Income before Tax</t>
    <phoneticPr fontId="4" type="noConversion"/>
  </si>
  <si>
    <t xml:space="preserve">      Transformative Acquisition</t>
    <phoneticPr fontId="4" type="noConversion"/>
  </si>
  <si>
    <t>Non-GAAP Acquisition-related expenses</t>
    <phoneticPr fontId="4" type="noConversion"/>
  </si>
  <si>
    <t xml:space="preserve">    % of Rev.</t>
    <phoneticPr fontId="4" type="noConversion"/>
  </si>
  <si>
    <t>Share-Based Compensation</t>
    <phoneticPr fontId="4" type="noConversion"/>
  </si>
  <si>
    <t xml:space="preserve">        % of Rev.</t>
    <phoneticPr fontId="4" type="noConversion"/>
  </si>
  <si>
    <t xml:space="preserve">    seasonality</t>
    <phoneticPr fontId="4" type="noConversion"/>
  </si>
  <si>
    <t>30 SEP '25</t>
    <phoneticPr fontId="4" type="noConversion"/>
  </si>
  <si>
    <t>31 SEP '26</t>
    <phoneticPr fontId="4" type="noConversion"/>
  </si>
  <si>
    <t>32 SEP '27</t>
    <phoneticPr fontId="4" type="noConversion"/>
  </si>
  <si>
    <t>33 SEP '28</t>
    <phoneticPr fontId="4" type="noConversion"/>
  </si>
  <si>
    <t>Backlog</t>
    <phoneticPr fontId="4" type="noConversion"/>
  </si>
  <si>
    <t>Revenue</t>
    <phoneticPr fontId="4" type="noConversion"/>
  </si>
  <si>
    <t>Revenue NTM</t>
    <phoneticPr fontId="4" type="noConversion"/>
  </si>
  <si>
    <t>Burn Rate</t>
    <phoneticPr fontId="4" type="noConversion"/>
  </si>
  <si>
    <t>FY 2025 Target</t>
    <phoneticPr fontId="4" type="noConversion"/>
  </si>
  <si>
    <t>2026 EPS</t>
    <phoneticPr fontId="4" type="noConversion"/>
  </si>
  <si>
    <t>Target P/E</t>
    <phoneticPr fontId="4" type="noConversion"/>
  </si>
  <si>
    <t>EOY Target Price</t>
    <phoneticPr fontId="4" type="noConversion"/>
  </si>
  <si>
    <t>% Return</t>
    <phoneticPr fontId="4" type="noConversion"/>
  </si>
  <si>
    <t>Annualized Return</t>
    <phoneticPr fontId="4" type="noConversion"/>
  </si>
  <si>
    <t>Balance Sheet</t>
    <phoneticPr fontId="4" type="noConversion"/>
  </si>
  <si>
    <t>Total assets</t>
  </si>
  <si>
    <t>Total current assets</t>
  </si>
  <si>
    <t>Cash</t>
  </si>
  <si>
    <t>Short-term restricted cash</t>
  </si>
  <si>
    <t>Contracts receivable including retainage, net</t>
  </si>
  <si>
    <t>Costs and estimated earnings in excess of billings on uncompleted contracts</t>
  </si>
  <si>
    <t>Inventories</t>
  </si>
  <si>
    <t>Other current assets</t>
  </si>
  <si>
    <t>Property, plant and equipment, net</t>
  </si>
  <si>
    <t>Operating lease right of use assets</t>
  </si>
  <si>
    <t>Goodwill</t>
  </si>
  <si>
    <t>Intangible assets, net</t>
  </si>
  <si>
    <t>Investment in joint venture</t>
  </si>
  <si>
    <t>Long-term restricted cash</t>
  </si>
  <si>
    <t>Other assets</t>
  </si>
  <si>
    <t>Deferred income taxes, net</t>
  </si>
  <si>
    <t>Total liabilities and stockholders equity</t>
  </si>
  <si>
    <t>Total liabilities</t>
  </si>
  <si>
    <t>Total current liabilities</t>
  </si>
  <si>
    <t>Accounts payable</t>
  </si>
  <si>
    <t>Billings in excess of costs and estimated earnings on uncompleted contracts</t>
  </si>
  <si>
    <t>Current portion of operating lease liabilities</t>
  </si>
  <si>
    <t>Current maturities of debt</t>
  </si>
  <si>
    <t>Accrued expenses and other current liabilities</t>
  </si>
  <si>
    <t>Total long-term liabilities</t>
  </si>
  <si>
    <t>Long-term debt, net of current maturities</t>
  </si>
  <si>
    <t>Operating lease liabilities, net of current portion</t>
  </si>
  <si>
    <t>Other long-term liabilities</t>
  </si>
  <si>
    <t>Total stockholders equity</t>
  </si>
  <si>
    <t>Preferred stock</t>
  </si>
  <si>
    <t>Common stock</t>
  </si>
  <si>
    <t>Class A Common stock</t>
  </si>
  <si>
    <t>Class B Common stock</t>
  </si>
  <si>
    <t>Additional paid-in capital</t>
  </si>
  <si>
    <t>Treasury stock, at cost</t>
  </si>
  <si>
    <t>Accumulated other comprehensive loss, net</t>
  </si>
  <si>
    <t>Retained earnings</t>
  </si>
  <si>
    <t>(+) Short-Term Debt</t>
    <phoneticPr fontId="15" type="noConversion"/>
  </si>
  <si>
    <t>(+) Long-Term Debt</t>
    <phoneticPr fontId="15" type="noConversion"/>
  </si>
  <si>
    <t>Total Debt</t>
    <phoneticPr fontId="15" type="noConversion"/>
  </si>
  <si>
    <t>(-) Cash &amp; Cash Equivalent</t>
    <phoneticPr fontId="15" type="noConversion"/>
  </si>
  <si>
    <t>Net Debt</t>
    <phoneticPr fontId="15" type="noConversion"/>
  </si>
  <si>
    <t>EBITDA</t>
    <phoneticPr fontId="15" type="noConversion"/>
  </si>
  <si>
    <t>Net Debt / EBITDA</t>
    <phoneticPr fontId="15" type="noConversion"/>
  </si>
  <si>
    <t>Leverage</t>
    <phoneticPr fontId="4" type="noConversion"/>
  </si>
  <si>
    <t>EBITDA LTM</t>
    <phoneticPr fontId="4" type="noConversion"/>
  </si>
  <si>
    <t>ROIC</t>
    <phoneticPr fontId="4" type="noConversion"/>
  </si>
  <si>
    <t>(+) Total Asset</t>
    <phoneticPr fontId="15" type="noConversion"/>
  </si>
  <si>
    <t>(-) Non-Interest Bearing CL</t>
    <phoneticPr fontId="15" type="noConversion"/>
  </si>
  <si>
    <t>Invested Capital</t>
    <phoneticPr fontId="15" type="noConversion"/>
  </si>
  <si>
    <t>(-) Goodwill</t>
    <phoneticPr fontId="15" type="noConversion"/>
  </si>
  <si>
    <t>(-) Other Intangibles</t>
    <phoneticPr fontId="15" type="noConversion"/>
  </si>
  <si>
    <t>Tangible Invested Capital</t>
    <phoneticPr fontId="15" type="noConversion"/>
  </si>
  <si>
    <t>Adjusted EBIT</t>
    <phoneticPr fontId="15" type="noConversion"/>
  </si>
  <si>
    <t>Normalized Tax Rate</t>
    <phoneticPr fontId="15" type="noConversion"/>
  </si>
  <si>
    <t>(-) Taxes</t>
    <phoneticPr fontId="15" type="noConversion"/>
  </si>
  <si>
    <t>Adjusted NOPAT</t>
    <phoneticPr fontId="15" type="noConversion"/>
  </si>
  <si>
    <t>Adjusted NOPAT, TTM</t>
    <phoneticPr fontId="15" type="noConversion"/>
  </si>
  <si>
    <t>Cash Flow Statement</t>
    <phoneticPr fontId="4" type="noConversion"/>
  </si>
  <si>
    <t>Operating Activities</t>
  </si>
  <si>
    <t>Net Income / Starting Line</t>
  </si>
  <si>
    <t>Depreciation, Depletion &amp; Amortization</t>
  </si>
  <si>
    <t>Depreciation and Depletion</t>
  </si>
  <si>
    <t>Amortization of Intangible Assets</t>
  </si>
  <si>
    <t>Deferred Taxes &amp; Investment Tax Credit</t>
  </si>
  <si>
    <t>Deferred Taxes</t>
  </si>
  <si>
    <t>Other Funds</t>
  </si>
  <si>
    <t>Funds from Operations</t>
  </si>
  <si>
    <t>Changes in Working Capital</t>
  </si>
  <si>
    <t>Receivables</t>
  </si>
  <si>
    <t>Accounts Payable</t>
  </si>
  <si>
    <t>Other Accruals</t>
  </si>
  <si>
    <t>Other Assets/Liabilities</t>
  </si>
  <si>
    <t>Net Operating Cash Flow</t>
  </si>
  <si>
    <t>Investing Activities</t>
  </si>
  <si>
    <t>Capital Expenditures</t>
  </si>
  <si>
    <t>Capital Expenditures (Fixed Assets)</t>
  </si>
  <si>
    <t>Net Assets from Acquisitions</t>
  </si>
  <si>
    <t>Sale of Fixed Assets &amp; Businesses</t>
  </si>
  <si>
    <t>Purchase/Sale of Investments</t>
  </si>
  <si>
    <t>Purchase of Investments</t>
  </si>
  <si>
    <t>Sale/Maturity of Investments</t>
  </si>
  <si>
    <t>Net Investing Cash Flow</t>
  </si>
  <si>
    <t>Financing Activities</t>
  </si>
  <si>
    <t>Cash Dividends Paid</t>
  </si>
  <si>
    <t>Common Dividends</t>
  </si>
  <si>
    <t>Change in Capital Stock</t>
  </si>
  <si>
    <t>Repurchase of Common &amp; Preferred Stk.</t>
  </si>
  <si>
    <t>Sale of Common &amp; Preferred Stock</t>
  </si>
  <si>
    <t>Proceeds from Sale of Stock</t>
  </si>
  <si>
    <t>Issuance/Reduction of Debt, Net</t>
  </si>
  <si>
    <t>Change in Current Debt</t>
  </si>
  <si>
    <t>Change in Long-Term Debt</t>
  </si>
  <si>
    <t>Issuance of Long-Term Debt</t>
  </si>
  <si>
    <t>Reduction in Long-Term Debt</t>
  </si>
  <si>
    <t>Other Uses</t>
  </si>
  <si>
    <t>Other Sources</t>
  </si>
  <si>
    <t>Net Financing Cash Flow</t>
  </si>
  <si>
    <t>All Activities</t>
  </si>
  <si>
    <t>Net Change in Cash</t>
  </si>
  <si>
    <t>Free Cash Flow</t>
    <phoneticPr fontId="4" type="noConversion"/>
  </si>
  <si>
    <t>OCF, pre-WC changes</t>
    <phoneticPr fontId="15" type="noConversion"/>
  </si>
  <si>
    <t xml:space="preserve">    % Margin</t>
    <phoneticPr fontId="15" type="noConversion"/>
  </si>
  <si>
    <t>Changes in WC</t>
    <phoneticPr fontId="15" type="noConversion"/>
  </si>
  <si>
    <t>OCF</t>
    <phoneticPr fontId="15" type="noConversion"/>
  </si>
  <si>
    <t>CAPEX</t>
    <phoneticPr fontId="15" type="noConversion"/>
  </si>
  <si>
    <t xml:space="preserve">    % Margin</t>
    <phoneticPr fontId="4" type="noConversion"/>
  </si>
  <si>
    <t>Use of Cash</t>
    <phoneticPr fontId="4" type="noConversion"/>
  </si>
  <si>
    <t>Cash Increase</t>
    <phoneticPr fontId="15" type="noConversion"/>
  </si>
  <si>
    <t>(-) Other Funds</t>
    <phoneticPr fontId="15" type="noConversion"/>
  </si>
  <si>
    <t>Debt</t>
    <phoneticPr fontId="15" type="noConversion"/>
  </si>
  <si>
    <t>(-) Repayment, net</t>
    <phoneticPr fontId="15" type="noConversion"/>
  </si>
  <si>
    <t>Shares Repurchase</t>
    <phoneticPr fontId="15" type="noConversion"/>
  </si>
  <si>
    <t>(-)Purchase of Common Stocks, net</t>
    <phoneticPr fontId="15" type="noConversion"/>
  </si>
  <si>
    <t>Merger &amp; Acquisition</t>
    <phoneticPr fontId="15" type="noConversion"/>
  </si>
  <si>
    <t>(-)Business Acquisitions</t>
    <phoneticPr fontId="15" type="noConversion"/>
  </si>
  <si>
    <t>Net Change in Cash</t>
    <phoneticPr fontId="15" type="noConversion"/>
  </si>
  <si>
    <t>Dividends</t>
    <phoneticPr fontId="4" type="noConversion"/>
  </si>
  <si>
    <t>(-) Dividends Paid</t>
    <phoneticPr fontId="4" type="noConversion"/>
  </si>
  <si>
    <t>(-) Purchase &amp; Sales of Investment</t>
    <phoneticPr fontId="15" type="noConversion"/>
  </si>
  <si>
    <t>(+) FCF</t>
    <phoneticPr fontId="15" type="noConversion"/>
  </si>
  <si>
    <t xml:space="preserve">      Acquisition</t>
    <phoneticPr fontId="4" type="noConversion"/>
  </si>
  <si>
    <t xml:space="preserve">      Divestiture</t>
    <phoneticPr fontId="4" type="noConversion"/>
  </si>
  <si>
    <t>LTM 24</t>
    <phoneticPr fontId="4" type="noConversion"/>
  </si>
  <si>
    <t>yoy</t>
    <phoneticPr fontId="4" type="noConversion"/>
  </si>
  <si>
    <t>EBITDA</t>
    <phoneticPr fontId="4" type="noConversion"/>
  </si>
  <si>
    <t>EBITDA Margin</t>
    <phoneticPr fontId="4" type="noConversion"/>
  </si>
  <si>
    <t>FCF Conversion</t>
    <phoneticPr fontId="4" type="noConversion"/>
  </si>
  <si>
    <t>Debt</t>
    <phoneticPr fontId="4" type="noConversion"/>
  </si>
  <si>
    <t>Cash</t>
    <phoneticPr fontId="4" type="noConversion"/>
  </si>
  <si>
    <t>Net Debt</t>
    <phoneticPr fontId="4" type="noConversion"/>
  </si>
  <si>
    <t>Net Debt/EBITDA</t>
    <phoneticPr fontId="4" type="noConversion"/>
  </si>
  <si>
    <t>FCF</t>
    <phoneticPr fontId="4" type="noConversion"/>
  </si>
  <si>
    <t>Margin</t>
    <phoneticPr fontId="4" type="noConversion"/>
  </si>
  <si>
    <t>OCF</t>
    <phoneticPr fontId="4" type="noConversion"/>
  </si>
  <si>
    <t>OCF Margin</t>
    <phoneticPr fontId="4" type="noConversion"/>
  </si>
  <si>
    <t>Capex</t>
    <phoneticPr fontId="4" type="noConversion"/>
  </si>
  <si>
    <t>FCF Margin</t>
    <phoneticPr fontId="4" type="noConversion"/>
  </si>
  <si>
    <t>OCF Pre-WC</t>
    <phoneticPr fontId="4" type="noConversion"/>
  </si>
  <si>
    <t>FY 2023</t>
    <phoneticPr fontId="4" type="noConversion"/>
  </si>
  <si>
    <t>Acquisition Expense</t>
    <phoneticPr fontId="4" type="noConversion"/>
  </si>
  <si>
    <t>YTD 24</t>
    <phoneticPr fontId="4" type="noConversion"/>
  </si>
  <si>
    <t>Tangible ROIC</t>
    <phoneticPr fontId="4" type="noConversion"/>
  </si>
  <si>
    <t>GVA</t>
    <phoneticPr fontId="4" type="noConversion"/>
  </si>
  <si>
    <t>Operating Margin</t>
    <phoneticPr fontId="4" type="noConversion"/>
  </si>
  <si>
    <t>STRL</t>
    <phoneticPr fontId="4" type="noConversion"/>
  </si>
  <si>
    <t>LSP</t>
    <phoneticPr fontId="4" type="noConversion"/>
  </si>
  <si>
    <t>PRIM</t>
    <phoneticPr fontId="4" type="noConversion"/>
  </si>
  <si>
    <t>ROAD</t>
    <phoneticPr fontId="4" type="noConversion"/>
  </si>
  <si>
    <t>Ticker</t>
    <phoneticPr fontId="4" type="noConversion"/>
  </si>
  <si>
    <t>Last Update</t>
    <phoneticPr fontId="4" type="noConversion"/>
  </si>
  <si>
    <t>Summary Table</t>
    <phoneticPr fontId="4" type="noConversion"/>
  </si>
  <si>
    <t>Price</t>
    <phoneticPr fontId="4" type="noConversion"/>
  </si>
  <si>
    <t>Diluted Shares</t>
    <phoneticPr fontId="4" type="noConversion"/>
  </si>
  <si>
    <t>Mark Cap</t>
    <phoneticPr fontId="4" type="noConversion"/>
  </si>
  <si>
    <t>Total Debt</t>
    <phoneticPr fontId="4" type="noConversion"/>
  </si>
  <si>
    <t>Enterprice Value</t>
    <phoneticPr fontId="4" type="noConversion"/>
  </si>
  <si>
    <t>Bull[1] &amp; Base[2] &amp; Bear[3]</t>
    <phoneticPr fontId="4" type="noConversion"/>
  </si>
  <si>
    <t>Revenue Growth</t>
    <phoneticPr fontId="4" type="noConversion"/>
  </si>
  <si>
    <t>Multiples</t>
    <phoneticPr fontId="4" type="noConversion"/>
  </si>
  <si>
    <t>FY 2027 Target</t>
    <phoneticPr fontId="4" type="noConversion"/>
  </si>
  <si>
    <t>2028 EPS</t>
    <phoneticPr fontId="4" type="noConversion"/>
  </si>
  <si>
    <t>FY 2025 Risk Case</t>
    <phoneticPr fontId="4" type="noConversion"/>
  </si>
  <si>
    <t>Reward/Risk</t>
    <phoneticPr fontId="4" type="noConversion"/>
  </si>
  <si>
    <t>P/E NTM Scenarios</t>
    <phoneticPr fontId="4" type="noConversion"/>
  </si>
  <si>
    <t>Bull</t>
    <phoneticPr fontId="4" type="noConversion"/>
  </si>
  <si>
    <t>Base</t>
    <phoneticPr fontId="4" type="noConversion"/>
  </si>
  <si>
    <t>Bear</t>
    <phoneticPr fontId="4" type="noConversion"/>
  </si>
  <si>
    <t>EV/Sales</t>
    <phoneticPr fontId="4" type="noConversion"/>
  </si>
  <si>
    <t>EV/EBITDA</t>
    <phoneticPr fontId="4" type="noConversion"/>
  </si>
  <si>
    <t>P/E</t>
    <phoneticPr fontId="4" type="noConversion"/>
  </si>
  <si>
    <t>Street P/E</t>
    <phoneticPr fontId="4" type="noConversion"/>
  </si>
  <si>
    <t>2021A</t>
    <phoneticPr fontId="4" type="noConversion"/>
  </si>
  <si>
    <t>2022A</t>
    <phoneticPr fontId="4" type="noConversion"/>
  </si>
  <si>
    <t>2023A</t>
    <phoneticPr fontId="4" type="noConversion"/>
  </si>
  <si>
    <t>2024A</t>
    <phoneticPr fontId="4" type="noConversion"/>
  </si>
  <si>
    <t>2025E</t>
    <phoneticPr fontId="4" type="noConversion"/>
  </si>
  <si>
    <t>2026E</t>
    <phoneticPr fontId="4" type="noConversion"/>
  </si>
  <si>
    <t>2027E</t>
    <phoneticPr fontId="4" type="noConversion"/>
  </si>
  <si>
    <t>2028E</t>
    <phoneticPr fontId="4" type="noConversion"/>
  </si>
  <si>
    <t>Diluted EPS</t>
    <phoneticPr fontId="4" type="noConversion"/>
  </si>
  <si>
    <t>% Growth</t>
    <phoneticPr fontId="4" type="noConversion"/>
  </si>
  <si>
    <t>Street EPS</t>
    <phoneticPr fontId="4" type="noConversion"/>
  </si>
  <si>
    <t>Delta</t>
    <phoneticPr fontId="4" type="noConversion"/>
  </si>
  <si>
    <t xml:space="preserve">Revenue </t>
    <phoneticPr fontId="4" type="noConversion"/>
  </si>
  <si>
    <t xml:space="preserve">Street Revenue </t>
    <phoneticPr fontId="4" type="noConversion"/>
  </si>
  <si>
    <t>Ray's Estimate</t>
    <phoneticPr fontId="4" type="noConversion"/>
  </si>
  <si>
    <t>Buy Price</t>
    <phoneticPr fontId="4" type="noConversion"/>
  </si>
  <si>
    <t>No-Brainer</t>
    <phoneticPr fontId="4" type="noConversion"/>
  </si>
  <si>
    <t>1 yr %</t>
    <phoneticPr fontId="4" type="noConversion"/>
  </si>
  <si>
    <t>Annualized</t>
    <phoneticPr fontId="4" type="noConversion"/>
  </si>
  <si>
    <t>3 yr  %</t>
    <phoneticPr fontId="4" type="noConversion"/>
  </si>
  <si>
    <t xml:space="preserve">    organic</t>
    <phoneticPr fontId="4" type="noConversion"/>
  </si>
  <si>
    <t>Constr Ptr-A Rg</t>
  </si>
  <si>
    <t>Primoris Services</t>
  </si>
  <si>
    <t>Granite Construction</t>
  </si>
  <si>
    <t>Sterling Infrastructure</t>
  </si>
  <si>
    <t>Knife River</t>
    <phoneticPr fontId="4" type="noConversion"/>
  </si>
  <si>
    <t>Acrosa</t>
    <phoneticPr fontId="4" type="noConversion"/>
  </si>
  <si>
    <t>LTM Revenue Growth - 5 yr CAGR</t>
    <phoneticPr fontId="4" type="noConversion"/>
  </si>
  <si>
    <t>Arcosa</t>
    <phoneticPr fontId="4" type="noConversion"/>
  </si>
  <si>
    <t>Sterling</t>
    <phoneticPr fontId="4" type="noConversion"/>
  </si>
  <si>
    <t>Granite</t>
    <phoneticPr fontId="4" type="noConversion"/>
  </si>
  <si>
    <t>Prim</t>
    <phoneticPr fontId="4" type="noConversion"/>
  </si>
  <si>
    <t>PE NTM</t>
    <phoneticPr fontId="4" type="noConversion"/>
  </si>
  <si>
    <t>FY25 Rev. Growth Est.</t>
    <phoneticPr fontId="4" type="noConversion"/>
  </si>
  <si>
    <t>PEG NTM</t>
    <phoneticPr fontId="4" type="noConversion"/>
  </si>
  <si>
    <t xml:space="preserve"> (FY26) 16.00%</t>
    <phoneticPr fontId="4" type="noConversion"/>
  </si>
  <si>
    <t>Constr Ptr-A Rg (End of FY25)</t>
    <phoneticPr fontId="4" type="noConversion"/>
  </si>
  <si>
    <t>9/30/2024</t>
    <phoneticPr fontId="4" type="noConversion"/>
  </si>
  <si>
    <t>12/31/2021</t>
    <phoneticPr fontId="4" type="noConversion"/>
  </si>
  <si>
    <t>12/31/2022</t>
    <phoneticPr fontId="4" type="noConversion"/>
  </si>
  <si>
    <t>12/31/2023</t>
    <phoneticPr fontId="4" type="noConversion"/>
  </si>
  <si>
    <t>9/30/2025E</t>
    <phoneticPr fontId="4" type="noConversion"/>
  </si>
  <si>
    <t>8%-10%</t>
    <phoneticPr fontId="4" type="noConversion"/>
  </si>
  <si>
    <t>05/24/2025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</si>
</sst>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 * #,##0.00_ ;_ * \-#,##0.00_ ;_ * &quot;-&quot;??_ ;_ @_ "/>
    <numFmt numFmtId="176" formatCode="#,##0.0"/>
    <numFmt numFmtId="177" formatCode="0.00%_);\(0.00%\);0.00%_);@_)"/>
    <numFmt numFmtId="178" formatCode="#,##0.00_ "/>
    <numFmt numFmtId="179" formatCode="0.000"/>
    <numFmt numFmtId="180" formatCode="0.000_ "/>
    <numFmt numFmtId="181" formatCode="0.00_ "/>
    <numFmt numFmtId="182" formatCode="0.000000000000_ "/>
    <numFmt numFmtId="183" formatCode=".0\x"/>
    <numFmt numFmtId="184" formatCode="0.0\x"/>
    <numFmt numFmtId="185" formatCode="\$#,##0.0_);[Red]\(\$#,##0.0\)"/>
    <numFmt numFmtId="186" formatCode="#\ ???/???"/>
    <numFmt numFmtId="187" formatCode="0.0%_);\(0.0%\);0.0%_);@_)"/>
    <numFmt numFmtId="188" formatCode="0.0%"/>
    <numFmt numFmtId="189" formatCode="0.00_);[Red]\(0.00\)"/>
    <numFmt numFmtId="190" formatCode="0.0_ "/>
    <numFmt numFmtId="191" formatCode="#,##0.00000_ "/>
    <numFmt numFmtId="192" formatCode="0.000000_ "/>
  </numFmts>
  <fonts count="17"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rgb="FF0000FF"/>
      <name val="Arial"/>
      <family val="2"/>
    </font>
    <font>
      <sz val="10"/>
      <color theme="1"/>
      <name val="Arial"/>
      <family val="2"/>
    </font>
    <font>
      <sz val="9"/>
      <name val="宋体"/>
      <family val="3"/>
      <charset val="134"/>
    </font>
    <font>
      <sz val="9"/>
      <color theme="1"/>
      <name val="Arial"/>
      <family val="2"/>
    </font>
    <font>
      <b/>
      <sz val="10"/>
      <color theme="4"/>
      <name val="Arial"/>
      <family val="2"/>
    </font>
    <font>
      <sz val="10"/>
      <color theme="4"/>
      <name val="Arial"/>
      <family val="2"/>
    </font>
    <font>
      <sz val="9"/>
      <color theme="4"/>
      <name val="Arial"/>
      <family val="2"/>
    </font>
    <font>
      <sz val="10"/>
      <color rgb="FF4472C4"/>
      <name val="Arial"/>
      <family val="2"/>
    </font>
    <font>
      <sz val="10"/>
      <color theme="4"/>
      <name val="宋体"/>
      <family val="2"/>
      <charset val="134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8" tint="-0.499984740745262"/>
      <name val="Arial"/>
      <family val="2"/>
    </font>
    <font>
      <sz val="10"/>
      <color theme="4" tint="-0.249977111117893"/>
      <name val="Arial"/>
      <family val="2"/>
    </font>
    <font>
      <sz val="9"/>
      <name val="DengXian"/>
      <family val="3"/>
      <charset val="134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B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</cellStyleXfs>
  <cellXfs count="283">
    <xf numFmtId="0" fontId="0" fillId="0" borderId="0" xfId="0"/>
    <xf numFmtId="176" fontId="0" fillId="0" borderId="0" xfId="0" applyNumberFormat="1"/>
    <xf numFmtId="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/>
    <xf numFmtId="0" fontId="1" fillId="2" borderId="0" xfId="0" applyFont="1" applyFill="1" applyAlignment="1">
      <alignment horizontal="left"/>
    </xf>
    <xf numFmtId="177" fontId="3" fillId="0" borderId="0" xfId="3" applyNumberFormat="1" applyFont="1" applyAlignment="1">
      <alignment horizontal="right"/>
    </xf>
    <xf numFmtId="0" fontId="5" fillId="0" borderId="0" xfId="0" applyFont="1" applyAlignment="1">
      <alignment horizontal="left"/>
    </xf>
    <xf numFmtId="177" fontId="5" fillId="0" borderId="0" xfId="3" applyNumberFormat="1" applyFont="1" applyAlignment="1">
      <alignment horizontal="right"/>
    </xf>
    <xf numFmtId="0" fontId="5" fillId="0" borderId="0" xfId="0" applyFont="1"/>
    <xf numFmtId="2" fontId="0" fillId="0" borderId="0" xfId="0" applyNumberFormat="1"/>
    <xf numFmtId="0" fontId="5" fillId="0" borderId="0" xfId="0" applyFont="1" applyAlignment="1">
      <alignment horizontal="left" indent="1"/>
    </xf>
    <xf numFmtId="4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left"/>
    </xf>
    <xf numFmtId="176" fontId="3" fillId="0" borderId="3" xfId="3" applyNumberFormat="1" applyFont="1" applyBorder="1" applyAlignment="1">
      <alignment horizontal="right"/>
    </xf>
    <xf numFmtId="4" fontId="3" fillId="0" borderId="3" xfId="3" applyNumberFormat="1" applyFont="1" applyBorder="1" applyAlignment="1">
      <alignment horizontal="right"/>
    </xf>
    <xf numFmtId="0" fontId="0" fillId="0" borderId="3" xfId="0" applyBorder="1"/>
    <xf numFmtId="0" fontId="0" fillId="3" borderId="0" xfId="0" applyFill="1" applyAlignment="1">
      <alignment horizontal="left"/>
    </xf>
    <xf numFmtId="176" fontId="3" fillId="3" borderId="0" xfId="3" applyNumberFormat="1" applyFont="1" applyFill="1" applyAlignment="1">
      <alignment horizontal="right"/>
    </xf>
    <xf numFmtId="177" fontId="3" fillId="3" borderId="0" xfId="3" applyNumberFormat="1" applyFont="1" applyFill="1" applyAlignment="1">
      <alignment horizontal="right"/>
    </xf>
    <xf numFmtId="177" fontId="5" fillId="3" borderId="0" xfId="3" applyNumberFormat="1" applyFont="1" applyFill="1" applyAlignment="1">
      <alignment horizontal="right"/>
    </xf>
    <xf numFmtId="4" fontId="3" fillId="3" borderId="0" xfId="3" applyNumberFormat="1" applyFont="1" applyFill="1" applyAlignment="1">
      <alignment horizontal="right"/>
    </xf>
    <xf numFmtId="4" fontId="0" fillId="3" borderId="0" xfId="0" applyNumberFormat="1" applyFill="1" applyAlignment="1">
      <alignment horizontal="right"/>
    </xf>
    <xf numFmtId="2" fontId="0" fillId="3" borderId="0" xfId="0" applyNumberFormat="1" applyFill="1"/>
    <xf numFmtId="0" fontId="0" fillId="3" borderId="0" xfId="0" applyFill="1"/>
    <xf numFmtId="4" fontId="3" fillId="3" borderId="3" xfId="3" applyNumberFormat="1" applyFont="1" applyFill="1" applyBorder="1" applyAlignment="1">
      <alignment horizontal="right"/>
    </xf>
    <xf numFmtId="0" fontId="0" fillId="3" borderId="3" xfId="0" applyFill="1" applyBorder="1"/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76" fontId="5" fillId="0" borderId="0" xfId="3" applyNumberFormat="1" applyFont="1" applyAlignment="1">
      <alignment horizontal="right"/>
    </xf>
    <xf numFmtId="4" fontId="0" fillId="3" borderId="3" xfId="0" applyNumberFormat="1" applyFill="1" applyBorder="1"/>
    <xf numFmtId="4" fontId="0" fillId="0" borderId="3" xfId="0" applyNumberFormat="1" applyBorder="1"/>
    <xf numFmtId="4" fontId="0" fillId="3" borderId="0" xfId="0" applyNumberFormat="1" applyFill="1"/>
    <xf numFmtId="2" fontId="3" fillId="0" borderId="0" xfId="3" applyNumberFormat="1" applyFont="1" applyAlignment="1">
      <alignment horizontal="right"/>
    </xf>
    <xf numFmtId="2" fontId="3" fillId="3" borderId="0" xfId="3" applyNumberFormat="1" applyFont="1" applyFill="1" applyAlignment="1">
      <alignment horizontal="right"/>
    </xf>
    <xf numFmtId="0" fontId="6" fillId="3" borderId="0" xfId="0" applyFont="1" applyFill="1" applyAlignment="1">
      <alignment horizontal="center"/>
    </xf>
    <xf numFmtId="0" fontId="6" fillId="0" borderId="0" xfId="0" applyFont="1"/>
    <xf numFmtId="0" fontId="7" fillId="2" borderId="0" xfId="0" applyFont="1" applyFill="1"/>
    <xf numFmtId="0" fontId="7" fillId="3" borderId="0" xfId="0" applyFont="1" applyFill="1"/>
    <xf numFmtId="0" fontId="7" fillId="0" borderId="0" xfId="0" applyFont="1"/>
    <xf numFmtId="0" fontId="8" fillId="3" borderId="0" xfId="0" applyFont="1" applyFill="1"/>
    <xf numFmtId="0" fontId="8" fillId="0" borderId="0" xfId="0" applyFont="1"/>
    <xf numFmtId="2" fontId="7" fillId="3" borderId="0" xfId="0" applyNumberFormat="1" applyFont="1" applyFill="1"/>
    <xf numFmtId="2" fontId="7" fillId="0" borderId="0" xfId="0" applyNumberFormat="1" applyFont="1"/>
    <xf numFmtId="179" fontId="7" fillId="0" borderId="0" xfId="0" applyNumberFormat="1" applyFont="1"/>
    <xf numFmtId="4" fontId="7" fillId="3" borderId="0" xfId="0" applyNumberFormat="1" applyFont="1" applyFill="1"/>
    <xf numFmtId="4" fontId="7" fillId="0" borderId="0" xfId="0" applyNumberFormat="1" applyFont="1"/>
    <xf numFmtId="4" fontId="7" fillId="3" borderId="3" xfId="0" applyNumberFormat="1" applyFont="1" applyFill="1" applyBorder="1"/>
    <xf numFmtId="4" fontId="7" fillId="0" borderId="3" xfId="0" applyNumberFormat="1" applyFont="1" applyBorder="1"/>
    <xf numFmtId="177" fontId="0" fillId="3" borderId="0" xfId="0" applyNumberFormat="1" applyFill="1"/>
    <xf numFmtId="4" fontId="7" fillId="3" borderId="0" xfId="0" applyNumberFormat="1" applyFont="1" applyFill="1" applyAlignment="1">
      <alignment horizontal="right"/>
    </xf>
    <xf numFmtId="0" fontId="7" fillId="3" borderId="3" xfId="0" applyFont="1" applyFill="1" applyBorder="1"/>
    <xf numFmtId="0" fontId="7" fillId="0" borderId="3" xfId="0" applyFont="1" applyBorder="1"/>
    <xf numFmtId="180" fontId="0" fillId="3" borderId="0" xfId="0" applyNumberFormat="1" applyFill="1"/>
    <xf numFmtId="181" fontId="0" fillId="3" borderId="0" xfId="0" applyNumberFormat="1" applyFill="1"/>
    <xf numFmtId="181" fontId="0" fillId="3" borderId="3" xfId="0" applyNumberFormat="1" applyFill="1" applyBorder="1"/>
    <xf numFmtId="4" fontId="5" fillId="0" borderId="0" xfId="0" applyNumberFormat="1" applyFont="1" applyAlignment="1">
      <alignment horizontal="right"/>
    </xf>
    <xf numFmtId="4" fontId="5" fillId="3" borderId="0" xfId="0" applyNumberFormat="1" applyFont="1" applyFill="1"/>
    <xf numFmtId="4" fontId="5" fillId="0" borderId="0" xfId="0" applyNumberFormat="1" applyFont="1"/>
    <xf numFmtId="177" fontId="5" fillId="0" borderId="0" xfId="0" applyNumberFormat="1" applyFont="1" applyAlignment="1">
      <alignment horizontal="right"/>
    </xf>
    <xf numFmtId="177" fontId="5" fillId="3" borderId="0" xfId="0" applyNumberFormat="1" applyFont="1" applyFill="1" applyAlignment="1">
      <alignment horizontal="right"/>
    </xf>
    <xf numFmtId="177" fontId="5" fillId="3" borderId="0" xfId="0" applyNumberFormat="1" applyFont="1" applyFill="1"/>
    <xf numFmtId="177" fontId="3" fillId="0" borderId="3" xfId="3" applyNumberFormat="1" applyFont="1" applyBorder="1" applyAlignment="1">
      <alignment horizontal="right"/>
    </xf>
    <xf numFmtId="177" fontId="3" fillId="3" borderId="3" xfId="3" applyNumberFormat="1" applyFont="1" applyFill="1" applyBorder="1" applyAlignment="1">
      <alignment horizontal="right"/>
    </xf>
    <xf numFmtId="177" fontId="0" fillId="3" borderId="3" xfId="0" applyNumberFormat="1" applyFill="1" applyBorder="1"/>
    <xf numFmtId="43" fontId="5" fillId="0" borderId="0" xfId="2" applyFont="1" applyFill="1" applyAlignment="1">
      <alignment horizontal="right"/>
    </xf>
    <xf numFmtId="43" fontId="5" fillId="3" borderId="0" xfId="2" applyFont="1" applyFill="1" applyAlignment="1">
      <alignment horizontal="right"/>
    </xf>
    <xf numFmtId="43" fontId="5" fillId="0" borderId="0" xfId="3" applyNumberFormat="1" applyFont="1" applyAlignment="1">
      <alignment horizontal="right"/>
    </xf>
    <xf numFmtId="43" fontId="5" fillId="3" borderId="0" xfId="3" applyNumberFormat="1" applyFont="1" applyFill="1" applyAlignment="1">
      <alignment horizontal="right"/>
    </xf>
    <xf numFmtId="43" fontId="5" fillId="3" borderId="0" xfId="0" applyNumberFormat="1" applyFont="1" applyFill="1"/>
    <xf numFmtId="178" fontId="7" fillId="3" borderId="0" xfId="0" applyNumberFormat="1" applyFont="1" applyFill="1"/>
    <xf numFmtId="2" fontId="0" fillId="0" borderId="0" xfId="0" applyNumberFormat="1" applyAlignment="1">
      <alignment horizontal="right"/>
    </xf>
    <xf numFmtId="177" fontId="5" fillId="0" borderId="0" xfId="0" applyNumberFormat="1" applyFont="1"/>
    <xf numFmtId="10" fontId="8" fillId="3" borderId="0" xfId="0" applyNumberFormat="1" applyFont="1" applyFill="1"/>
    <xf numFmtId="10" fontId="5" fillId="3" borderId="0" xfId="0" applyNumberFormat="1" applyFont="1" applyFill="1"/>
    <xf numFmtId="177" fontId="7" fillId="0" borderId="0" xfId="0" applyNumberFormat="1" applyFont="1"/>
    <xf numFmtId="177" fontId="7" fillId="3" borderId="0" xfId="0" applyNumberFormat="1" applyFont="1" applyFill="1"/>
    <xf numFmtId="181" fontId="7" fillId="3" borderId="0" xfId="0" applyNumberFormat="1" applyFont="1" applyFill="1"/>
    <xf numFmtId="43" fontId="7" fillId="3" borderId="0" xfId="2" applyFont="1" applyFill="1"/>
    <xf numFmtId="10" fontId="7" fillId="3" borderId="0" xfId="0" applyNumberFormat="1" applyFont="1" applyFill="1"/>
    <xf numFmtId="10" fontId="7" fillId="3" borderId="0" xfId="1" applyNumberFormat="1" applyFont="1" applyFill="1"/>
    <xf numFmtId="177" fontId="0" fillId="0" borderId="0" xfId="0" applyNumberFormat="1"/>
    <xf numFmtId="177" fontId="7" fillId="3" borderId="3" xfId="0" applyNumberFormat="1" applyFont="1" applyFill="1" applyBorder="1"/>
    <xf numFmtId="43" fontId="8" fillId="3" borderId="0" xfId="0" applyNumberFormat="1" applyFont="1" applyFill="1"/>
    <xf numFmtId="43" fontId="7" fillId="3" borderId="0" xfId="0" applyNumberFormat="1" applyFont="1" applyFill="1"/>
    <xf numFmtId="2" fontId="7" fillId="3" borderId="3" xfId="0" applyNumberFormat="1" applyFont="1" applyFill="1" applyBorder="1"/>
    <xf numFmtId="181" fontId="7" fillId="0" borderId="3" xfId="0" applyNumberFormat="1" applyFont="1" applyBorder="1"/>
    <xf numFmtId="181" fontId="7" fillId="0" borderId="0" xfId="0" applyNumberFormat="1" applyFont="1"/>
    <xf numFmtId="43" fontId="7" fillId="0" borderId="0" xfId="2" applyFont="1"/>
    <xf numFmtId="2" fontId="8" fillId="0" borderId="0" xfId="0" applyNumberFormat="1" applyFont="1"/>
    <xf numFmtId="2" fontId="9" fillId="4" borderId="0" xfId="0" applyNumberFormat="1" applyFont="1" applyFill="1"/>
    <xf numFmtId="0" fontId="6" fillId="0" borderId="0" xfId="0" applyFont="1" applyAlignment="1">
      <alignment horizontal="center"/>
    </xf>
    <xf numFmtId="182" fontId="0" fillId="3" borderId="0" xfId="0" applyNumberFormat="1" applyFill="1"/>
    <xf numFmtId="0" fontId="1" fillId="0" borderId="2" xfId="0" applyFont="1" applyBorder="1"/>
    <xf numFmtId="2" fontId="0" fillId="0" borderId="3" xfId="0" applyNumberFormat="1" applyBorder="1"/>
    <xf numFmtId="2" fontId="0" fillId="3" borderId="3" xfId="0" applyNumberFormat="1" applyFill="1" applyBorder="1"/>
    <xf numFmtId="2" fontId="7" fillId="0" borderId="3" xfId="0" applyNumberFormat="1" applyFont="1" applyBorder="1"/>
    <xf numFmtId="10" fontId="7" fillId="0" borderId="0" xfId="0" applyNumberFormat="1" applyFont="1"/>
    <xf numFmtId="0" fontId="10" fillId="0" borderId="0" xfId="0" applyFont="1"/>
    <xf numFmtId="177" fontId="7" fillId="0" borderId="3" xfId="0" applyNumberFormat="1" applyFont="1" applyBorder="1"/>
    <xf numFmtId="177" fontId="8" fillId="0" borderId="0" xfId="0" applyNumberFormat="1" applyFont="1"/>
    <xf numFmtId="10" fontId="7" fillId="0" borderId="3" xfId="1" applyNumberFormat="1" applyFont="1" applyBorder="1"/>
    <xf numFmtId="10" fontId="8" fillId="0" borderId="0" xfId="0" applyNumberFormat="1" applyFont="1"/>
    <xf numFmtId="2" fontId="7" fillId="0" borderId="0" xfId="2" applyNumberFormat="1" applyFont="1"/>
    <xf numFmtId="0" fontId="0" fillId="0" borderId="4" xfId="0" applyBorder="1"/>
    <xf numFmtId="0" fontId="1" fillId="5" borderId="1" xfId="0" applyFont="1" applyFill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5" borderId="1" xfId="0" applyFill="1" applyBorder="1" applyAlignment="1">
      <alignment horizontal="right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10" fontId="0" fillId="0" borderId="9" xfId="0" applyNumberFormat="1" applyBorder="1"/>
    <xf numFmtId="2" fontId="0" fillId="0" borderId="5" xfId="0" applyNumberFormat="1" applyBorder="1" applyAlignment="1">
      <alignment horizontal="right"/>
    </xf>
    <xf numFmtId="2" fontId="12" fillId="0" borderId="5" xfId="0" applyNumberFormat="1" applyFont="1" applyBorder="1" applyAlignment="1">
      <alignment horizontal="right"/>
    </xf>
    <xf numFmtId="2" fontId="13" fillId="0" borderId="5" xfId="0" applyNumberFormat="1" applyFont="1" applyBorder="1" applyAlignment="1">
      <alignment horizontal="right"/>
    </xf>
    <xf numFmtId="2" fontId="13" fillId="0" borderId="6" xfId="0" applyNumberFormat="1" applyFont="1" applyBorder="1" applyAlignment="1">
      <alignment horizontal="right"/>
    </xf>
    <xf numFmtId="10" fontId="0" fillId="0" borderId="0" xfId="0" applyNumberFormat="1"/>
    <xf numFmtId="10" fontId="0" fillId="0" borderId="10" xfId="0" applyNumberFormat="1" applyBorder="1"/>
    <xf numFmtId="43" fontId="3" fillId="0" borderId="6" xfId="2" applyFont="1" applyBorder="1" applyAlignment="1"/>
    <xf numFmtId="10" fontId="0" fillId="0" borderId="11" xfId="0" applyNumberFormat="1" applyBorder="1" applyAlignment="1">
      <alignment horizontal="right"/>
    </xf>
    <xf numFmtId="0" fontId="0" fillId="0" borderId="13" xfId="0" applyBorder="1"/>
    <xf numFmtId="2" fontId="3" fillId="0" borderId="14" xfId="0" applyNumberFormat="1" applyFont="1" applyBorder="1"/>
    <xf numFmtId="0" fontId="13" fillId="0" borderId="0" xfId="0" applyFont="1"/>
    <xf numFmtId="43" fontId="3" fillId="0" borderId="14" xfId="2" applyFont="1" applyFill="1" applyBorder="1" applyAlignment="1">
      <alignment horizontal="right"/>
    </xf>
    <xf numFmtId="2" fontId="0" fillId="0" borderId="5" xfId="0" applyNumberFormat="1" applyBorder="1"/>
    <xf numFmtId="2" fontId="0" fillId="0" borderId="6" xfId="0" applyNumberFormat="1" applyBorder="1"/>
    <xf numFmtId="10" fontId="0" fillId="0" borderId="11" xfId="0" applyNumberFormat="1" applyBorder="1"/>
    <xf numFmtId="0" fontId="0" fillId="5" borderId="4" xfId="0" applyFill="1" applyBorder="1"/>
    <xf numFmtId="2" fontId="0" fillId="5" borderId="5" xfId="0" applyNumberFormat="1" applyFill="1" applyBorder="1"/>
    <xf numFmtId="2" fontId="13" fillId="5" borderId="5" xfId="0" applyNumberFormat="1" applyFont="1" applyFill="1" applyBorder="1"/>
    <xf numFmtId="2" fontId="13" fillId="5" borderId="6" xfId="0" applyNumberFormat="1" applyFont="1" applyFill="1" applyBorder="1"/>
    <xf numFmtId="43" fontId="3" fillId="0" borderId="12" xfId="2" applyFont="1" applyBorder="1" applyAlignment="1"/>
    <xf numFmtId="0" fontId="0" fillId="5" borderId="7" xfId="0" applyFill="1" applyBorder="1"/>
    <xf numFmtId="10" fontId="0" fillId="5" borderId="11" xfId="0" applyNumberFormat="1" applyFill="1" applyBorder="1"/>
    <xf numFmtId="10" fontId="0" fillId="0" borderId="12" xfId="0" applyNumberFormat="1" applyBorder="1"/>
    <xf numFmtId="0" fontId="0" fillId="0" borderId="2" xfId="0" applyBorder="1"/>
    <xf numFmtId="10" fontId="0" fillId="0" borderId="3" xfId="0" applyNumberFormat="1" applyBorder="1"/>
    <xf numFmtId="0" fontId="0" fillId="7" borderId="2" xfId="0" applyFill="1" applyBorder="1"/>
    <xf numFmtId="183" fontId="0" fillId="0" borderId="5" xfId="0" applyNumberFormat="1" applyBorder="1"/>
    <xf numFmtId="183" fontId="0" fillId="0" borderId="6" xfId="0" applyNumberFormat="1" applyBorder="1"/>
    <xf numFmtId="184" fontId="0" fillId="0" borderId="0" xfId="0" applyNumberFormat="1"/>
    <xf numFmtId="184" fontId="0" fillId="0" borderId="14" xfId="0" applyNumberFormat="1" applyBorder="1"/>
    <xf numFmtId="0" fontId="0" fillId="0" borderId="14" xfId="0" applyBorder="1"/>
    <xf numFmtId="2" fontId="0" fillId="0" borderId="14" xfId="0" applyNumberFormat="1" applyBorder="1"/>
    <xf numFmtId="184" fontId="0" fillId="0" borderId="11" xfId="0" applyNumberFormat="1" applyBorder="1"/>
    <xf numFmtId="0" fontId="0" fillId="7" borderId="3" xfId="0" applyFill="1" applyBorder="1"/>
    <xf numFmtId="0" fontId="0" fillId="7" borderId="8" xfId="0" applyFill="1" applyBorder="1"/>
    <xf numFmtId="0" fontId="0" fillId="0" borderId="5" xfId="0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11" xfId="0" applyBorder="1"/>
    <xf numFmtId="0" fontId="0" fillId="0" borderId="12" xfId="0" applyBorder="1"/>
    <xf numFmtId="10" fontId="0" fillId="0" borderId="14" xfId="0" applyNumberFormat="1" applyBorder="1"/>
    <xf numFmtId="10" fontId="0" fillId="0" borderId="15" xfId="0" applyNumberFormat="1" applyBorder="1"/>
    <xf numFmtId="185" fontId="1" fillId="5" borderId="1" xfId="0" applyNumberFormat="1" applyFont="1" applyFill="1" applyBorder="1" applyAlignment="1">
      <alignment horizontal="right"/>
    </xf>
    <xf numFmtId="0" fontId="1" fillId="0" borderId="9" xfId="0" applyFont="1" applyBorder="1" applyAlignment="1">
      <alignment horizontal="center"/>
    </xf>
    <xf numFmtId="10" fontId="0" fillId="0" borderId="4" xfId="0" applyNumberFormat="1" applyBorder="1"/>
    <xf numFmtId="10" fontId="0" fillId="0" borderId="13" xfId="0" applyNumberFormat="1" applyBorder="1"/>
    <xf numFmtId="10" fontId="14" fillId="0" borderId="11" xfId="0" applyNumberFormat="1" applyFont="1" applyBorder="1" applyAlignment="1">
      <alignment horizontal="right"/>
    </xf>
    <xf numFmtId="10" fontId="14" fillId="0" borderId="12" xfId="0" applyNumberFormat="1" applyFont="1" applyBorder="1" applyAlignment="1">
      <alignment horizontal="right"/>
    </xf>
    <xf numFmtId="43" fontId="0" fillId="0" borderId="5" xfId="2" applyFont="1" applyBorder="1" applyAlignment="1">
      <alignment horizontal="right"/>
    </xf>
    <xf numFmtId="43" fontId="14" fillId="0" borderId="5" xfId="2" applyFont="1" applyBorder="1" applyAlignment="1">
      <alignment horizontal="right"/>
    </xf>
    <xf numFmtId="43" fontId="14" fillId="0" borderId="6" xfId="2" applyFont="1" applyBorder="1" applyAlignment="1">
      <alignment horizontal="right"/>
    </xf>
    <xf numFmtId="2" fontId="14" fillId="0" borderId="5" xfId="0" applyNumberFormat="1" applyFont="1" applyBorder="1"/>
    <xf numFmtId="2" fontId="14" fillId="0" borderId="6" xfId="0" applyNumberFormat="1" applyFont="1" applyBorder="1"/>
    <xf numFmtId="2" fontId="14" fillId="0" borderId="5" xfId="0" applyNumberFormat="1" applyFont="1" applyBorder="1" applyAlignment="1">
      <alignment horizontal="right"/>
    </xf>
    <xf numFmtId="2" fontId="14" fillId="0" borderId="6" xfId="0" applyNumberFormat="1" applyFont="1" applyBorder="1" applyAlignment="1">
      <alignment horizontal="right"/>
    </xf>
    <xf numFmtId="10" fontId="14" fillId="0" borderId="11" xfId="0" applyNumberFormat="1" applyFont="1" applyBorder="1"/>
    <xf numFmtId="10" fontId="14" fillId="0" borderId="12" xfId="0" applyNumberFormat="1" applyFont="1" applyBorder="1"/>
    <xf numFmtId="10" fontId="14" fillId="0" borderId="3" xfId="0" applyNumberFormat="1" applyFont="1" applyBorder="1"/>
    <xf numFmtId="2" fontId="14" fillId="0" borderId="8" xfId="0" applyNumberFormat="1" applyFont="1" applyBorder="1" applyAlignment="1">
      <alignment horizontal="right"/>
    </xf>
    <xf numFmtId="184" fontId="0" fillId="0" borderId="12" xfId="0" applyNumberFormat="1" applyBorder="1"/>
    <xf numFmtId="184" fontId="0" fillId="0" borderId="0" xfId="0" applyNumberFormat="1" applyAlignment="1">
      <alignment horizontal="right"/>
    </xf>
    <xf numFmtId="0" fontId="1" fillId="8" borderId="9" xfId="0" applyFont="1" applyFill="1" applyBorder="1"/>
    <xf numFmtId="2" fontId="0" fillId="0" borderId="15" xfId="0" applyNumberFormat="1" applyBorder="1" applyAlignment="1">
      <alignment horizontal="left"/>
    </xf>
    <xf numFmtId="186" fontId="0" fillId="0" borderId="0" xfId="2" applyNumberFormat="1" applyFont="1"/>
    <xf numFmtId="10" fontId="0" fillId="0" borderId="7" xfId="0" applyNumberFormat="1" applyBorder="1"/>
    <xf numFmtId="43" fontId="0" fillId="0" borderId="14" xfId="2" applyFont="1" applyBorder="1"/>
    <xf numFmtId="0" fontId="1" fillId="2" borderId="0" xfId="0" applyFont="1" applyFill="1"/>
    <xf numFmtId="0" fontId="12" fillId="0" borderId="0" xfId="0" applyFont="1" applyAlignment="1">
      <alignment horizontal="left"/>
    </xf>
    <xf numFmtId="176" fontId="12" fillId="0" borderId="0" xfId="3" applyNumberFormat="1" applyFont="1" applyAlignment="1">
      <alignment horizontal="right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horizontal="left" indent="4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6"/>
    </xf>
    <xf numFmtId="0" fontId="12" fillId="0" borderId="0" xfId="0" applyFont="1" applyAlignment="1">
      <alignment horizontal="left" indent="7"/>
    </xf>
    <xf numFmtId="2" fontId="12" fillId="0" borderId="0" xfId="3" applyNumberFormat="1" applyFont="1" applyAlignment="1">
      <alignment horizontal="right"/>
    </xf>
    <xf numFmtId="2" fontId="12" fillId="0" borderId="0" xfId="0" applyNumberFormat="1" applyFont="1" applyAlignment="1">
      <alignment horizontal="left"/>
    </xf>
    <xf numFmtId="0" fontId="0" fillId="7" borderId="0" xfId="0" applyFill="1"/>
    <xf numFmtId="0" fontId="7" fillId="7" borderId="0" xfId="0" applyFont="1" applyFill="1"/>
    <xf numFmtId="0" fontId="1" fillId="7" borderId="0" xfId="0" applyFont="1" applyFill="1"/>
    <xf numFmtId="178" fontId="0" fillId="0" borderId="0" xfId="0" applyNumberFormat="1"/>
    <xf numFmtId="178" fontId="0" fillId="3" borderId="0" xfId="0" applyNumberFormat="1" applyFill="1"/>
    <xf numFmtId="177" fontId="0" fillId="0" borderId="3" xfId="0" applyNumberFormat="1" applyBorder="1"/>
    <xf numFmtId="178" fontId="7" fillId="0" borderId="0" xfId="0" applyNumberFormat="1" applyFont="1"/>
    <xf numFmtId="9" fontId="7" fillId="9" borderId="0" xfId="0" applyNumberFormat="1" applyFont="1" applyFill="1"/>
    <xf numFmtId="0" fontId="7" fillId="9" borderId="0" xfId="0" applyFont="1" applyFill="1"/>
    <xf numFmtId="177" fontId="7" fillId="9" borderId="0" xfId="0" applyNumberFormat="1" applyFont="1" applyFill="1"/>
    <xf numFmtId="4" fontId="12" fillId="0" borderId="0" xfId="0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4" fontId="12" fillId="7" borderId="0" xfId="0" applyNumberFormat="1" applyFont="1" applyFill="1" applyAlignment="1">
      <alignment horizontal="right"/>
    </xf>
    <xf numFmtId="0" fontId="12" fillId="0" borderId="0" xfId="0" applyFont="1"/>
    <xf numFmtId="181" fontId="0" fillId="0" borderId="0" xfId="0" applyNumberFormat="1"/>
    <xf numFmtId="181" fontId="0" fillId="0" borderId="3" xfId="0" applyNumberFormat="1" applyBorder="1"/>
    <xf numFmtId="181" fontId="7" fillId="3" borderId="3" xfId="0" applyNumberFormat="1" applyFont="1" applyFill="1" applyBorder="1"/>
    <xf numFmtId="4" fontId="12" fillId="0" borderId="0" xfId="4" applyNumberFormat="1" applyFont="1" applyAlignment="1">
      <alignment horizontal="right"/>
    </xf>
    <xf numFmtId="178" fontId="12" fillId="0" borderId="0" xfId="4" applyNumberFormat="1" applyFont="1"/>
    <xf numFmtId="2" fontId="12" fillId="0" borderId="0" xfId="4" applyNumberFormat="1" applyFont="1" applyAlignment="1">
      <alignment horizontal="right"/>
    </xf>
    <xf numFmtId="9" fontId="0" fillId="0" borderId="0" xfId="0" applyNumberFormat="1"/>
    <xf numFmtId="3" fontId="0" fillId="0" borderId="0" xfId="0" applyNumberFormat="1"/>
    <xf numFmtId="4" fontId="0" fillId="0" borderId="6" xfId="0" applyNumberFormat="1" applyBorder="1"/>
    <xf numFmtId="4" fontId="0" fillId="0" borderId="14" xfId="0" applyNumberFormat="1" applyBorder="1"/>
    <xf numFmtId="2" fontId="0" fillId="0" borderId="1" xfId="0" applyNumberFormat="1" applyBorder="1"/>
    <xf numFmtId="43" fontId="0" fillId="0" borderId="0" xfId="2" applyFo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" xfId="0" applyBorder="1" applyAlignment="1">
      <alignment horizontal="left"/>
    </xf>
    <xf numFmtId="177" fontId="0" fillId="0" borderId="0" xfId="2" applyNumberFormat="1" applyFont="1"/>
    <xf numFmtId="43" fontId="0" fillId="0" borderId="0" xfId="0" applyNumberFormat="1"/>
    <xf numFmtId="188" fontId="0" fillId="0" borderId="0" xfId="0" applyNumberFormat="1"/>
    <xf numFmtId="187" fontId="3" fillId="0" borderId="0" xfId="3" applyNumberFormat="1" applyFont="1" applyAlignment="1">
      <alignment horizontal="right"/>
    </xf>
    <xf numFmtId="176" fontId="16" fillId="0" borderId="0" xfId="3" applyNumberFormat="1" applyFont="1" applyAlignment="1">
      <alignment horizontal="right"/>
    </xf>
    <xf numFmtId="0" fontId="0" fillId="0" borderId="0" xfId="0" applyAlignment="1">
      <alignment horizontal="right"/>
    </xf>
    <xf numFmtId="10" fontId="13" fillId="0" borderId="11" xfId="0" applyNumberFormat="1" applyFont="1" applyBorder="1" applyAlignment="1">
      <alignment horizontal="right"/>
    </xf>
    <xf numFmtId="10" fontId="13" fillId="0" borderId="12" xfId="0" applyNumberFormat="1" applyFont="1" applyBorder="1" applyAlignment="1">
      <alignment horizontal="right"/>
    </xf>
    <xf numFmtId="10" fontId="13" fillId="0" borderId="11" xfId="0" applyNumberFormat="1" applyFont="1" applyBorder="1"/>
    <xf numFmtId="10" fontId="13" fillId="0" borderId="12" xfId="0" applyNumberFormat="1" applyFont="1" applyBorder="1"/>
    <xf numFmtId="10" fontId="13" fillId="5" borderId="11" xfId="0" applyNumberFormat="1" applyFont="1" applyFill="1" applyBorder="1"/>
    <xf numFmtId="10" fontId="13" fillId="5" borderId="12" xfId="0" applyNumberFormat="1" applyFont="1" applyFill="1" applyBorder="1"/>
    <xf numFmtId="2" fontId="8" fillId="3" borderId="0" xfId="0" applyNumberFormat="1" applyFont="1" applyFill="1"/>
    <xf numFmtId="189" fontId="8" fillId="3" borderId="0" xfId="2" applyNumberFormat="1" applyFont="1" applyFill="1"/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2" xfId="0" applyNumberFormat="1" applyBorder="1"/>
    <xf numFmtId="177" fontId="0" fillId="0" borderId="9" xfId="0" applyNumberFormat="1" applyBorder="1"/>
    <xf numFmtId="177" fontId="0" fillId="0" borderId="10" xfId="0" applyNumberFormat="1" applyBorder="1" applyAlignment="1">
      <alignment horizontal="right"/>
    </xf>
    <xf numFmtId="177" fontId="0" fillId="0" borderId="10" xfId="0" applyNumberFormat="1" applyBorder="1"/>
    <xf numFmtId="177" fontId="0" fillId="0" borderId="15" xfId="0" applyNumberFormat="1" applyBorder="1"/>
    <xf numFmtId="0" fontId="0" fillId="0" borderId="1" xfId="0" applyBorder="1"/>
    <xf numFmtId="0" fontId="0" fillId="0" borderId="9" xfId="0" applyBorder="1"/>
    <xf numFmtId="2" fontId="0" fillId="0" borderId="10" xfId="0" applyNumberFormat="1" applyBorder="1"/>
    <xf numFmtId="0" fontId="0" fillId="0" borderId="10" xfId="0" applyBorder="1"/>
    <xf numFmtId="43" fontId="0" fillId="0" borderId="15" xfId="2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10" fontId="0" fillId="0" borderId="5" xfId="0" applyNumberFormat="1" applyBorder="1"/>
    <xf numFmtId="43" fontId="7" fillId="0" borderId="0" xfId="0" applyNumberFormat="1" applyFont="1"/>
    <xf numFmtId="10" fontId="0" fillId="3" borderId="0" xfId="0" applyNumberFormat="1" applyFill="1"/>
    <xf numFmtId="43" fontId="0" fillId="3" borderId="0" xfId="0" applyNumberFormat="1" applyFill="1"/>
    <xf numFmtId="43" fontId="0" fillId="3" borderId="0" xfId="2" applyFont="1" applyFill="1"/>
    <xf numFmtId="189" fontId="5" fillId="3" borderId="0" xfId="2" applyNumberFormat="1" applyFont="1" applyFill="1"/>
    <xf numFmtId="0" fontId="5" fillId="3" borderId="0" xfId="0" applyFont="1" applyFill="1"/>
    <xf numFmtId="178" fontId="5" fillId="3" borderId="0" xfId="0" applyNumberFormat="1" applyFont="1" applyFill="1"/>
    <xf numFmtId="10" fontId="0" fillId="3" borderId="0" xfId="1" applyNumberFormat="1" applyFont="1" applyFill="1"/>
    <xf numFmtId="2" fontId="5" fillId="3" borderId="0" xfId="0" applyNumberFormat="1" applyFont="1" applyFill="1"/>
    <xf numFmtId="2" fontId="0" fillId="4" borderId="0" xfId="0" applyNumberFormat="1" applyFill="1"/>
    <xf numFmtId="176" fontId="0" fillId="3" borderId="0" xfId="0" applyNumberFormat="1" applyFill="1"/>
    <xf numFmtId="190" fontId="0" fillId="3" borderId="0" xfId="0" applyNumberFormat="1" applyFill="1"/>
    <xf numFmtId="43" fontId="0" fillId="3" borderId="3" xfId="0" applyNumberFormat="1" applyFill="1" applyBorder="1"/>
    <xf numFmtId="191" fontId="8" fillId="0" borderId="0" xfId="0" applyNumberFormat="1" applyFont="1"/>
    <xf numFmtId="192" fontId="8" fillId="0" borderId="0" xfId="0" applyNumberFormat="1" applyFont="1"/>
    <xf numFmtId="0" fontId="1" fillId="8" borderId="4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5">
    <cellStyle name="Comma" xfId="2" builtinId="3"/>
    <cellStyle name="Hyperlink" xfId="3" builtinId="8"/>
    <cellStyle name="Normal" xfId="0" builtinId="0"/>
    <cellStyle name="Normal 2" xfId="4" xr:uid="{C8523CCF-955B-479C-8F3E-9E885B4A127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Adjusted EBITDA Margin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Summary!$F$3:$M$3</c:f>
              <c:strCache>
                <c:ptCount val="8"/>
                <c:pt idx="0">
                  <c:v>2021A</c:v>
                </c:pt>
                <c:pt idx="1">
                  <c:v>2022A</c:v>
                </c:pt>
                <c:pt idx="2">
                  <c:v>2023A</c:v>
                </c:pt>
                <c:pt idx="3">
                  <c:v>2024A</c:v>
                </c:pt>
                <c:pt idx="4">
                  <c:v>2025E</c:v>
                </c:pt>
                <c:pt idx="5">
                  <c:v>2026E</c:v>
                </c:pt>
                <c:pt idx="6">
                  <c:v>2027E</c:v>
                </c:pt>
                <c:pt idx="7">
                  <c:v>2028E</c:v>
                </c:pt>
              </c:strCache>
            </c:strRef>
          </c:cat>
          <c:val>
            <c:numRef>
              <c:f>Summary!$F$10:$M$10</c:f>
              <c:numCache>
                <c:formatCode>0.00%</c:formatCode>
                <c:ptCount val="8"/>
                <c:pt idx="0">
                  <c:v>9.2534743763032001E-2</c:v>
                </c:pt>
                <c:pt idx="1">
                  <c:v>8.4309128091980018E-2</c:v>
                </c:pt>
                <c:pt idx="2">
                  <c:v>0.11039571538577644</c:v>
                </c:pt>
                <c:pt idx="3">
                  <c:v>0.12093718422557515</c:v>
                </c:pt>
                <c:pt idx="4">
                  <c:v>0.1506656210947574</c:v>
                </c:pt>
                <c:pt idx="5">
                  <c:v>0.15687116992446007</c:v>
                </c:pt>
                <c:pt idx="6">
                  <c:v>0.1637980344382958</c:v>
                </c:pt>
                <c:pt idx="7">
                  <c:v>0.16963498660539567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1-4430-A1B2-A5D111B05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11813055"/>
        <c:axId val="1111813535"/>
      </c:barChart>
      <c:catAx>
        <c:axId val="111181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11813535"/>
        <c:crosses val="autoZero"/>
        <c:auto val="1"/>
        <c:lblAlgn val="ctr"/>
        <c:lblOffset val="100"/>
        <c:noMultiLvlLbl val="0"/>
      </c:catAx>
      <c:valAx>
        <c:axId val="1111813535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11813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EPS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Summary!$E$12</c:f>
              <c:strCache>
                <c:ptCount val="1"/>
                <c:pt idx="0">
                  <c:v>Diluted EPS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Summary!$F$3:$M$3</c:f>
              <c:strCache>
                <c:ptCount val="8"/>
                <c:pt idx="0">
                  <c:v>2021A</c:v>
                </c:pt>
                <c:pt idx="1">
                  <c:v>2022A</c:v>
                </c:pt>
                <c:pt idx="2">
                  <c:v>2023A</c:v>
                </c:pt>
                <c:pt idx="3">
                  <c:v>2024A</c:v>
                </c:pt>
                <c:pt idx="4">
                  <c:v>2025E</c:v>
                </c:pt>
                <c:pt idx="5">
                  <c:v>2026E</c:v>
                </c:pt>
                <c:pt idx="6">
                  <c:v>2027E</c:v>
                </c:pt>
                <c:pt idx="7">
                  <c:v>2028E</c:v>
                </c:pt>
              </c:strCache>
            </c:strRef>
          </c:cat>
          <c:val>
            <c:numRef>
              <c:f>Summary!$F$12:$M$12</c:f>
              <c:numCache>
                <c:formatCode>0.00</c:formatCode>
                <c:ptCount val="8"/>
                <c:pt idx="0">
                  <c:v>0.39</c:v>
                </c:pt>
                <c:pt idx="1">
                  <c:v>0.41</c:v>
                </c:pt>
                <c:pt idx="2">
                  <c:v>0.94</c:v>
                </c:pt>
                <c:pt idx="3">
                  <c:v>1.31</c:v>
                </c:pt>
                <c:pt idx="4">
                  <c:v>2.3293017272351872</c:v>
                </c:pt>
                <c:pt idx="5">
                  <c:v>3.0714344344180011</c:v>
                </c:pt>
                <c:pt idx="6">
                  <c:v>4.1914357233990014</c:v>
                </c:pt>
                <c:pt idx="7">
                  <c:v>5.5204794049980075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D-43B1-BE60-E3E819B0C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0834319"/>
        <c:axId val="1370831439"/>
      </c:barChart>
      <c:lineChart>
        <c:grouping val="standard"/>
        <c:varyColors val="0"/>
        <c:ser>
          <c:idx val="1"/>
          <c:order val="1"/>
          <c:tx>
            <c:strRef>
              <c:f>Summary!$E$13</c:f>
              <c:strCache>
                <c:ptCount val="1"/>
                <c:pt idx="0">
                  <c:v>% Growth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Summary!$F$13:$M$13</c:f>
              <c:numCache>
                <c:formatCode>0.00%</c:formatCode>
                <c:ptCount val="8"/>
                <c:pt idx="0">
                  <c:v>-0.5</c:v>
                </c:pt>
                <c:pt idx="1">
                  <c:v>5.12820512820511E-2</c:v>
                </c:pt>
                <c:pt idx="2">
                  <c:v>1.2926829268292681</c:v>
                </c:pt>
                <c:pt idx="3">
                  <c:v>0.39361702127659592</c:v>
                </c:pt>
                <c:pt idx="4">
                  <c:v>0.7780929215535779</c:v>
                </c:pt>
                <c:pt idx="5">
                  <c:v>0.31860737426391883</c:v>
                </c:pt>
                <c:pt idx="6">
                  <c:v>0.36465088638404453</c:v>
                </c:pt>
                <c:pt idx="7">
                  <c:v>0.31708554521772125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D-43B1-BE60-E3E819B0C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215088"/>
        <c:axId val="1659217968"/>
      </c:lineChart>
      <c:catAx>
        <c:axId val="1370834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70831439"/>
        <c:crosses val="autoZero"/>
        <c:auto val="1"/>
        <c:lblAlgn val="ctr"/>
        <c:lblOffset val="100"/>
        <c:noMultiLvlLbl val="0"/>
      </c:catAx>
      <c:valAx>
        <c:axId val="1370831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70834319"/>
        <c:crosses val="autoZero"/>
        <c:crossBetween val="between"/>
      </c:valAx>
      <c:valAx>
        <c:axId val="1659217968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59215088"/>
        <c:crosses val="max"/>
        <c:crossBetween val="between"/>
      </c:valAx>
      <c:catAx>
        <c:axId val="1659215088"/>
        <c:scaling>
          <c:orientation val="minMax"/>
        </c:scaling>
        <c:delete val="1"/>
        <c:axPos val="b"/>
        <c:majorTickMark val="none"/>
        <c:minorTickMark val="none"/>
        <c:tickLblPos val="nextTo"/>
        <c:crossAx val="1659217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600" b="1"/>
              <a:t>FY23 Operating Margin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LSP!$C$39:$G$39</c:f>
              <c:strCache>
                <c:ptCount val="5"/>
                <c:pt idx="0">
                  <c:v>ROAD</c:v>
                </c:pt>
                <c:pt idx="1">
                  <c:v>PRIM</c:v>
                </c:pt>
                <c:pt idx="2">
                  <c:v>GVA</c:v>
                </c:pt>
                <c:pt idx="3">
                  <c:v>STRL</c:v>
                </c:pt>
                <c:pt idx="4">
                  <c:v>LSP</c:v>
                </c:pt>
              </c:strCache>
            </c:strRef>
          </c:cat>
          <c:val>
            <c:numRef>
              <c:f>LSP!$C$40:$G$40</c:f>
              <c:numCache>
                <c:formatCode>0.00%</c:formatCode>
                <c:ptCount val="5"/>
                <c:pt idx="0">
                  <c:v>5.2400000000000002E-2</c:v>
                </c:pt>
                <c:pt idx="1">
                  <c:v>4.53E-2</c:v>
                </c:pt>
                <c:pt idx="2">
                  <c:v>1.47E-2</c:v>
                </c:pt>
                <c:pt idx="3">
                  <c:v>0.1048</c:v>
                </c:pt>
                <c:pt idx="4" formatCode="0.00%_);\(0.00%\);0.00%_);@_)">
                  <c:v>0.15249920706042003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9-4D48-BBF1-02480956C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1052399455"/>
        <c:axId val="1052399935"/>
      </c:barChart>
      <c:catAx>
        <c:axId val="1052399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52399935"/>
        <c:crosses val="autoZero"/>
        <c:auto val="1"/>
        <c:lblAlgn val="ctr"/>
        <c:lblOffset val="100"/>
        <c:noMultiLvlLbl val="0"/>
      </c:catAx>
      <c:valAx>
        <c:axId val="1052399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52399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Backlog Burn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LSP!$J$22:$M$22</c:f>
              <c:strCache>
                <c:ptCount val="4"/>
                <c:pt idx="0">
                  <c:v>12/31/2021</c:v>
                </c:pt>
                <c:pt idx="1">
                  <c:v>12/31/2022</c:v>
                </c:pt>
                <c:pt idx="2">
                  <c:v>12/31/2023</c:v>
                </c:pt>
                <c:pt idx="3">
                  <c:v>9/30/2025E</c:v>
                </c:pt>
              </c:strCache>
            </c:strRef>
          </c:cat>
          <c:val>
            <c:numRef>
              <c:f>LSP!$J$23:$M$23</c:f>
              <c:numCache>
                <c:formatCode>General</c:formatCode>
                <c:ptCount val="4"/>
                <c:pt idx="0">
                  <c:v>1.1386704545454545</c:v>
                </c:pt>
                <c:pt idx="1">
                  <c:v>1.2386363636363635</c:v>
                </c:pt>
                <c:pt idx="2">
                  <c:v>0.95127610208816704</c:v>
                </c:pt>
                <c:pt idx="3">
                  <c:v>0.80303030303030298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25-4DF6-8EDD-FCC39AC29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43128448"/>
        <c:axId val="443113568"/>
      </c:barChart>
      <c:catAx>
        <c:axId val="44312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43113568"/>
        <c:crosses val="autoZero"/>
        <c:auto val="1"/>
        <c:lblAlgn val="ctr"/>
        <c:lblOffset val="100"/>
        <c:noMultiLvlLbl val="0"/>
      </c:catAx>
      <c:valAx>
        <c:axId val="44311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43128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847725</xdr:colOff>
      <xdr:row>50</xdr:row>
      <xdr:rowOff>25400</xdr:rowOff>
    </xdr:from>
    <xdr:to>
      <xdr:col>9</xdr:col>
      <xdr:colOff>123825</xdr:colOff>
      <xdr:row>67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4A5F98-5BA1-853B-0BAD-8D3215964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536575</xdr:colOff>
      <xdr:row>50</xdr:row>
      <xdr:rowOff>69850</xdr:rowOff>
    </xdr:from>
    <xdr:to>
      <xdr:col>18</xdr:col>
      <xdr:colOff>200025</xdr:colOff>
      <xdr:row>67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04F3EDC-0FD8-28F7-829C-BA4D613BC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47</xdr:row>
      <xdr:rowOff>31750</xdr:rowOff>
    </xdr:from>
    <xdr:to>
      <xdr:col>8</xdr:col>
      <xdr:colOff>584200</xdr:colOff>
      <xdr:row>68</xdr:row>
      <xdr:rowOff>107950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CB8231-8399-3879-0F80-53B5179A9D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52" t="8184" r="3893" b="13334"/>
        <a:stretch/>
      </xdr:blipFill>
      <xdr:spPr>
        <a:xfrm>
          <a:off x="76200" y="7531100"/>
          <a:ext cx="7435850" cy="3409950"/>
        </a:xfrm>
        <a:prstGeom prst="rect">
          <a:avLst/>
        </a:prstGeom>
      </xdr:spPr>
    </xdr:pic>
    <xdr:clientData/>
  </xdr:twoCellAnchor>
  <xdr:twoCellAnchor>
    <xdr:from>
      <xdr:col>9</xdr:col>
      <xdr:colOff>708025</xdr:colOff>
      <xdr:row>47</xdr:row>
      <xdr:rowOff>114300</xdr:rowOff>
    </xdr:from>
    <xdr:to>
      <xdr:col>16</xdr:col>
      <xdr:colOff>225425</xdr:colOff>
      <xdr:row>65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EE6404-2CCE-053E-2CC0-5A54F2BBD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688975</xdr:colOff>
      <xdr:row>28</xdr:row>
      <xdr:rowOff>142875</xdr:rowOff>
    </xdr:from>
    <xdr:to>
      <xdr:col>14</xdr:col>
      <xdr:colOff>60325</xdr:colOff>
      <xdr:row>45</xdr:row>
      <xdr:rowOff>155575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2EDC7EE-94F5-7608-9580-06621133C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12</xdr:col>
          <xdr:colOff>23813</xdr:colOff>
          <xdr:row>20</xdr:row>
          <xdr:rowOff>147638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fdsup://factset/Doc%20Viewer%20Single?float_window=true&amp;positioning_strategy=center_on_screen&amp;_doc_docfn=U2FsdGVkX1/EYPY9RTeF2XuHI4JmChZp338KzBgI5V7cX3Q+TinSBV6vKRHq7Z83gyo9+UdKJvJ9EDvCWClp+ySgzgGV7OpL1znVD8W+AFg=&amp;_app_id=central_doc_viewer&amp;center_on_screen=true&amp;width=950&amp;height=800&amp;_dd2=%26f%3Dsld%26c%3Dtrue%26os%3D134283%26oe%3D134293" TargetMode="External"/><Relationship Id="rId299" Type="http://schemas.openxmlformats.org/officeDocument/2006/relationships/hyperlink" Target="fdsup://factset/Doc%20Viewer%20Single?float_window=true&amp;positioning_strategy=center_on_screen&amp;_doc_docfn=U2FsdGVkX1+eEmNWqS2p+FaVTCqw8DnhhZ07rIOOOBLcqOEK0+qEZ6AO/kNDtBqmXWXndXD7mTFoSTqzbdfAe7UNAFlYQPMHfcR9wbQCpKg=&amp;_app_id=central_doc_viewer&amp;center_on_screen=true&amp;width=950&amp;height=800&amp;_dd2=%26f%3Dsld%26c%3Dtrue%26os%3D63627%26oe%3D63634" TargetMode="External"/><Relationship Id="rId21" Type="http://schemas.openxmlformats.org/officeDocument/2006/relationships/hyperlink" Target="fdsup://factset/Doc%20Viewer%20Single?float_window=true&amp;positioning_strategy=center_on_screen&amp;_doc_docfn=U2FsdGVkX1/zpCn8W/UqB3EfcH6TykX4FfN62HodGTlAkQ2JhMuj1SUBzrEfRY6uLhah5vGTq0qfqWZsHPTSab9itpjHlfEcOBeTehVCxkM=&amp;_app_id=central_doc_viewer&amp;center_on_screen=true&amp;width=950&amp;height=800&amp;_dd2=%26f%3Dsld%26c%3Dtrue%26os%3D152437%26oe%3D152444" TargetMode="External"/><Relationship Id="rId63" Type="http://schemas.openxmlformats.org/officeDocument/2006/relationships/hyperlink" Target="fdsup://factset/Doc%20Viewer%20Single?float_window=true&amp;positioning_strategy=center_on_screen&amp;_doc_docfn=U2FsdGVkX19SaXtTjvHo13BduxxRb+kRR1RBP56IqvvGHSdX0/k4hcPHJ5zhqJYV6VASBKX1621ZQ0NnFOzalAxsFQtolnV5J+rL9Jh6nXI=&amp;_app_id=central_doc_viewer&amp;center_on_screen=true&amp;width=950&amp;height=800&amp;_dd2=%26f%3Dsld%26c%3Dtrue%26os%3D73612%26oe%3D73619" TargetMode="External"/><Relationship Id="rId159" Type="http://schemas.openxmlformats.org/officeDocument/2006/relationships/hyperlink" Target="fdsup://factset/Doc%20Viewer%20Single?float_window=true&amp;positioning_strategy=center_on_screen&amp;_doc_docfn=U2FsdGVkX1/6MfqTrg/K1iM9eYwCfW6qQsSEiEFEpi7+cAGXuodIJExW2pYm3CoBWohm/em9D0KogNweLJwM1Vx5erVzScYp0R9I2GVWExw=&amp;_app_id=central_doc_viewer&amp;center_on_screen=true&amp;width=950&amp;height=800&amp;_dd2=%26f%3Dsld%26c%3Dtrue%26os%3D56285%26oe%3D56292" TargetMode="External"/><Relationship Id="rId324" Type="http://schemas.openxmlformats.org/officeDocument/2006/relationships/hyperlink" Target="fdsup://factset/Doc%20Viewer%20Single?float_window=true&amp;positioning_strategy=center_on_screen&amp;_doc_docfn=U2FsdGVkX1/edkGTFT2emxZkHjsOR+Cn5w03/r/zzuL9F7zX8Zei/6p8PYPWGvKRPVuRys7p4s3/xVryeGqU5I3KjQlCIHwXb1f0WxgBA+w=&amp;_app_id=central_doc_viewer&amp;center_on_screen=true&amp;width=950&amp;height=800&amp;_dd2=%26f%3Dsld%26c%3Dtrue%26os%3D74802%26oe%3D74808" TargetMode="External"/><Relationship Id="rId366" Type="http://schemas.openxmlformats.org/officeDocument/2006/relationships/hyperlink" Target="fdsup://factset/Doc%20Viewer%20Single?float_window=true&amp;positioning_strategy=center_on_screen&amp;_doc_docfn=U2FsdGVkX1+3x0KA/sxXEOnpHRubMkDD+H2nCfb5IXvhNOHIT/4aNhHlYXXrwrrol1M3hT9YmXMpdqCZ4TufPMr3EMaUAooAtM2+KHAmx9k=&amp;_app_id=central_doc_viewer&amp;center_on_screen=true&amp;width=950&amp;height=800&amp;_dd2=%26f%3Dsld%26c%3Dtrue%26os%3D59487%26oe%3D59492" TargetMode="External"/><Relationship Id="rId170" Type="http://schemas.openxmlformats.org/officeDocument/2006/relationships/hyperlink" Target="fdsup://factset/Doc%20Viewer%20Single?float_window=true&amp;positioning_strategy=center_on_screen&amp;_doc_docfn=U2FsdGVkX1/2YxcYZw066DXk7hqOBrQyxUSPEBwTYgypswVwdknsvj1X6FUC5NEmNOEl6xaiJrlqjhbPjz44iAuIAKEE3IJLrWjjum764e0=&amp;_app_id=central_doc_viewer&amp;center_on_screen=true&amp;width=950&amp;height=800&amp;_dd2=%26f%3Dsld%26c%3Dtrue%26os%3D57737%26oe%3D57742" TargetMode="External"/><Relationship Id="rId226" Type="http://schemas.openxmlformats.org/officeDocument/2006/relationships/hyperlink" Target="fdsup://factset/Doc%20Viewer%20Single?float_window=true&amp;positioning_strategy=center_on_screen&amp;_doc_docfn=U2FsdGVkX1/ZEeuA3izn8rHZgHofb2D4UU826RFtcLFydf3RGxahac0HwK6/GZ0wbv3Igi4WISFaA4vLEvPVdtaXZ4Ymx2jUlHxqCgssLBA=&amp;_app_id=central_doc_viewer&amp;center_on_screen=true&amp;width=950&amp;height=800&amp;_dd2=%26f%3Dsld%26c%3Dtrue%26os%3D37302%26oe%3D37308" TargetMode="External"/><Relationship Id="rId268" Type="http://schemas.openxmlformats.org/officeDocument/2006/relationships/hyperlink" Target="fdsup://factset/Doc%20Viewer%20Single?float_window=true&amp;positioning_strategy=center_on_screen&amp;_doc_docfn=U2FsdGVkX1/gLoDTf4/xaVUxLrcHLZ6WeofnpKRdoOfyB8qhK2fqnD0GGEombt98HbDK71jXOYEhUlnZQLqDuENuTogBq5ziybqa4XeO3Ic=&amp;_app_id=central_doc_viewer&amp;center_on_screen=true&amp;width=950&amp;height=800&amp;_dd2=%26f%3Dsld%26c%3Dtrue%26os%3D82383%26oe%3D82385" TargetMode="External"/><Relationship Id="rId32" Type="http://schemas.openxmlformats.org/officeDocument/2006/relationships/hyperlink" Target="fdsup://factset/Doc%20Viewer%20Single?float_window=true&amp;positioning_strategy=center_on_screen&amp;_doc_docfn=U2FsdGVkX196IkaZy9hqoSjmy7vYZ4jVpobTP0elGd5ZDP1EDFdjQ0aeBNfjkM0KRTWTzO/6S3CLE27K9upUyFqWFTfu7c+lQjfS9RGyF5E=&amp;_app_id=central_doc_viewer&amp;center_on_screen=true&amp;width=950&amp;height=800&amp;_dd2=%26f%3Dsld%26c%3Dtrue%26os%3D70792%26oe%3D70800" TargetMode="External"/><Relationship Id="rId74" Type="http://schemas.openxmlformats.org/officeDocument/2006/relationships/hyperlink" Target="fdsup://factset/Doc%20Viewer%20Single?float_window=true&amp;positioning_strategy=center_on_screen&amp;_doc_docfn=U2FsdGVkX1+MwenFPiqOOZujJ8wVOLdm4xI3LgEgWYIrNKLoG5ye5WffZMMblg9DKd8XpAiGAkgXiO6kJPqUoOapY2tVGowmEu0Mdvr/Idc=&amp;_app_id=central_doc_viewer&amp;center_on_screen=true&amp;width=950&amp;height=800&amp;_dd2=%26f%3Dsld%26c%3Dtrue%26os%3D141083%26oe%3D141089" TargetMode="External"/><Relationship Id="rId128" Type="http://schemas.openxmlformats.org/officeDocument/2006/relationships/hyperlink" Target="fdsup://factset/Doc%20Viewer%20Single?float_window=true&amp;positioning_strategy=center_on_screen&amp;_doc_docfn=U2FsdGVkX1/7T4+XYrNexBmws/P4EOGVzvvEl/YtpJq3DOWQpfMTWSaQqngySKwxOAQP3P3Hf56iaLqG0Y8jURQgfn19sncZbjDQnTev4HQ=&amp;_app_id=central_doc_viewer&amp;center_on_screen=true&amp;width=950&amp;height=800&amp;_dd2=%26f%3Dsld%26c%3Dtrue%26os%3D55780%26oe%3D55787" TargetMode="External"/><Relationship Id="rId335" Type="http://schemas.openxmlformats.org/officeDocument/2006/relationships/hyperlink" Target="fdsup://factset/Doc%20Viewer%20Single?float_window=true&amp;positioning_strategy=center_on_screen&amp;_doc_docfn=U2FsdGVkX19rqj9TNRW0KTCkJ7WrwQmY5QD30/rUSd6/BXtu4b7nz7ZP0uer12JYoDuKjcPCkDLKM4suNoSn1p9UFXXi3X5YRPHcJrLphBk=&amp;_app_id=central_doc_viewer&amp;center_on_screen=true&amp;width=950&amp;height=800&amp;_dd2=%26f%3Dsld%26c%3Dtrue%26os%3D63196%26oe%3D63202" TargetMode="External"/><Relationship Id="rId377" Type="http://schemas.openxmlformats.org/officeDocument/2006/relationships/hyperlink" Target="fdsup://factset/Doc%20Viewer%20Single?float_window=true&amp;positioning_strategy=center_on_screen&amp;_doc_docfn=U2FsdGVkX18KhPAPVTvWqqqXad9risOLpfWvNRzWv/SipmfVYp0SWszaIa2KtfSWTxBmm51VfBphtqm9v6CG4uYXpOWoH7GpsGCjZbP2C8U=&amp;_app_id=central_doc_viewer&amp;center_on_screen=true&amp;width=950&amp;height=800&amp;_dd2=%26f%3Dsld%26c%3Dtrue%26os%3D65386%26oe%3D65392" TargetMode="External"/><Relationship Id="rId5" Type="http://schemas.openxmlformats.org/officeDocument/2006/relationships/hyperlink" Target="fdsup://factset/Doc%20Viewer%20Single?float_window=true&amp;positioning_strategy=center_on_screen&amp;_doc_docfn=U2FsdGVkX1/AYy5cDMcilY6oahj4vBMvjKd1UnNW0CrvolNfzdVm4XpePb348ujFwDrYmxLAqjzTSKYWKEeVda7FJb7TVVXpZgxDN1195zI=&amp;_app_id=central_doc_viewer&amp;center_on_screen=true&amp;width=950&amp;height=800&amp;_dd2=%26f%3Dsld%26c%3Dtrue%26os%3D151044%26oe%3D151053" TargetMode="External"/><Relationship Id="rId181" Type="http://schemas.openxmlformats.org/officeDocument/2006/relationships/hyperlink" Target="fdsup://factset/Doc%20Viewer%20Single?float_window=true&amp;positioning_strategy=center_on_screen&amp;_doc_docfn=U2FsdGVkX1+mKAtIJtQxbr4XTUN7QGDSX020VQ4+V0Ns56rD0qjUL5E81AiXvUx6/ZMCGyxTUJClsnO2PwA1F2MPpGwT6a1aLVAGHxHDZg8=&amp;_app_id=central_doc_viewer&amp;center_on_screen=true&amp;width=950&amp;height=800&amp;_dd2=%26f%3Dsld%26c%3Dtrue%26os%3D58672%26oe%3D58677" TargetMode="External"/><Relationship Id="rId237" Type="http://schemas.openxmlformats.org/officeDocument/2006/relationships/hyperlink" Target="fdsup://factset/Doc%20Viewer%20Single?float_window=true&amp;positioning_strategy=center_on_screen&amp;_doc_docfn=U2FsdGVkX1+96owOm/F8VeKukeuI3e4a2XjfRjDp+LrPXiY8+YVZxzlWtendR48Hpc9kXtnlX/aBxdXg+Vtho6k4vCSs/r4a8MmfV4o6KbU=&amp;_app_id=central_doc_viewer&amp;center_on_screen=true&amp;width=950&amp;height=800&amp;_dd2=%26f%3Dsld%26c%3Dtrue%26os%3D69169%26oe%3D69178" TargetMode="External"/><Relationship Id="rId279" Type="http://schemas.openxmlformats.org/officeDocument/2006/relationships/hyperlink" Target="fdsup://factset/Doc%20Viewer%20Single?float_window=true&amp;positioning_strategy=center_on_screen&amp;_doc_docfn=U2FsdGVkX1+M/N4QxwjHa7XUs4QSFjYsNp2cEnmXjGivr69vphWmYlGytGufcQfEHJMnd4QS8dphPU2EFA0mdHAJ30XISWnVYu4Y34j9pg4=&amp;_app_id=central_doc_viewer&amp;center_on_screen=true&amp;width=950&amp;height=800&amp;_dd2=%26f%3Dsld%26c%3Dtrue%26os%3D78985%26oe%3D78993" TargetMode="External"/><Relationship Id="rId43" Type="http://schemas.openxmlformats.org/officeDocument/2006/relationships/hyperlink" Target="fdsup://factset/Doc%20Viewer%20Single?float_window=true&amp;positioning_strategy=center_on_screen&amp;_doc_docfn=U2FsdGVkX19hCWjnTVUQNsCKfLl/AoC/o0s9N7Q8C21dPXNoJJVz9ROnMM0Wa7I+ONqpQQuU6g8F9UX5zxxihvIA3djhSfPSZUA4wZmHxOQ=&amp;_app_id=central_doc_viewer&amp;center_on_screen=true&amp;width=950&amp;height=800&amp;_dd2=%26f%3Dsld%26c%3Dtrue%26os%3D137503%26oe%3D137504" TargetMode="External"/><Relationship Id="rId139" Type="http://schemas.openxmlformats.org/officeDocument/2006/relationships/hyperlink" Target="fdsup://factset/Doc%20Viewer%20Single?float_window=true&amp;positioning_strategy=center_on_screen&amp;_doc_docfn=U2FsdGVkX18YKtl4okVJDN0Xdn+6Cxn0bDprHphmnbxuE1IqgXlNsLYr84PAkWPAT1hYjG0Wf8sfzKGHfkpgZe96zI6y7tZlfF2OM0uaVtI=&amp;_app_id=central_doc_viewer&amp;center_on_screen=true&amp;width=950&amp;height=800&amp;_dd2=%26f%3Dsld%26c%3Dtrue%26os%3D53796%26oe%3D53803" TargetMode="External"/><Relationship Id="rId290" Type="http://schemas.openxmlformats.org/officeDocument/2006/relationships/hyperlink" Target="fdsup://factset/Doc%20Viewer%20Single?float_window=true&amp;positioning_strategy=center_on_screen&amp;_doc_docfn=U2FsdGVkX1/g2w7lirjtnOIPFXNumrptOi5E41y56S900Rdluey2QyUYxbdX+mbMLpXVRCS8fWz6xCK97kXsMGnXKni7LySIoyPFdNN91E8=&amp;_app_id=central_doc_viewer&amp;center_on_screen=true&amp;width=950&amp;height=800&amp;_dd2=%26f%3Dsld%26c%3Dtrue%26os%3D62179%26oe%3D62186" TargetMode="External"/><Relationship Id="rId304" Type="http://schemas.openxmlformats.org/officeDocument/2006/relationships/hyperlink" Target="fdsup://factset/Doc%20Viewer%20Single?float_window=true&amp;positioning_strategy=center_on_screen&amp;_doc_docfn=U2FsdGVkX19rxHvMRR2zEjy7KbPgi994Uf6I22E2o3JQ2dHx6nw0Fbua1LPX71mVn7+fS5Bkb7nWjn96oU1kp4ghBp/I+FKLNnLCqKnWGjA=&amp;_app_id=central_doc_viewer&amp;center_on_screen=true&amp;width=950&amp;height=800&amp;_dd2=%26f%3Dsld%26c%3Dtrue%26os%3D76305%26oe%3D76314" TargetMode="External"/><Relationship Id="rId346" Type="http://schemas.openxmlformats.org/officeDocument/2006/relationships/hyperlink" Target="fdsup://factset/Doc%20Viewer%20Single?float_window=true&amp;positioning_strategy=center_on_screen&amp;_doc_docfn=U2FsdGVkX19V4tgm8OPFDTwG8JBw5F7NEYQYfODJZwzr1Dv2LYJrrb0yc2zg2PqGlYaqy5Lnwp6D2pGFrp5QCYTrTzHswEnbNYPndIXai1w=&amp;_app_id=central_doc_viewer&amp;center_on_screen=true&amp;width=950&amp;height=800&amp;_dd2=%26f%3Dsld%26c%3Dtrue%26os%3D67821%26oe%3D67826" TargetMode="External"/><Relationship Id="rId388" Type="http://schemas.openxmlformats.org/officeDocument/2006/relationships/hyperlink" Target="fdsup://factset/Doc%20Viewer%20Single?float_window=true&amp;positioning_strategy=center_on_screen&amp;_doc_docfn=U2FsdGVkX1/5Y/EQVzvYC/f0b8S1Pej+XxSKWitIdcJH5+8Uv7ZMnextB5gGfzJmYE5fiIQOKnvlTJjjZWSyJ8Y8AaUae6MITjX2W/l4C4M=&amp;_app_id=central_doc_viewer&amp;center_on_screen=true&amp;width=950&amp;height=800&amp;_dd2=%26f%3Dsld%26c%3Dtrue%26os%3D70444%26oe%3D70450" TargetMode="External"/><Relationship Id="rId85" Type="http://schemas.openxmlformats.org/officeDocument/2006/relationships/hyperlink" Target="fdsup://factset/Doc%20Viewer%20Single?float_window=true&amp;positioning_strategy=center_on_screen&amp;_doc_docfn=U2FsdGVkX1+lSjQ69oRk1kYjvq2wHzuEibYXSgqbk5RzVDNN2cg6n8mtvHcjdBOCLrcAvqZpqGNUAPTdFuA9TnTOqprqmSUifFfS1AtIUN8=&amp;_app_id=central_doc_viewer&amp;center_on_screen=true&amp;width=950&amp;height=800&amp;_dd2=%26f%3Dsld%26c%3Dtrue%26os%3D126437%26oe%3D126443" TargetMode="External"/><Relationship Id="rId150" Type="http://schemas.openxmlformats.org/officeDocument/2006/relationships/hyperlink" Target="fdsup://factset/Doc%20Viewer%20Single?float_window=true&amp;positioning_strategy=center_on_screen&amp;_doc_docfn=U2FsdGVkX18iuQo7Lgzuxyamd8oGnPUJlLYtczUpQNGNa7xJbazR02ku5PTC/6qftwhEdVRV8BKYgrZZWd1bqPGN3P+qGYwfnbRISAnC18U=&amp;_app_id=central_doc_viewer&amp;center_on_screen=true&amp;width=950&amp;height=800&amp;_dd2=%26f%3Dsld%26c%3Dtrue%26os%3D30558%26oe%3D30564" TargetMode="External"/><Relationship Id="rId192" Type="http://schemas.openxmlformats.org/officeDocument/2006/relationships/hyperlink" Target="fdsup://factset/Doc%20Viewer%20Single?float_window=true&amp;positioning_strategy=center_on_screen&amp;_doc_docfn=U2FsdGVkX18BmUBHocbM9BwxgwiWG5K3Ttxxnee7FOht/BM/eWenZ9YVZPmJAB6KSGNrYYKQZTMaoAJFHq3l5/2/9ZgJK6EGNi50y0Ijkmo=&amp;_app_id=central_doc_viewer&amp;center_on_screen=true&amp;width=950&amp;height=800&amp;_dd2=%26f%3Dsld%26c%3Dtrue%26os%3D68261%26oe%3D68268" TargetMode="External"/><Relationship Id="rId206" Type="http://schemas.openxmlformats.org/officeDocument/2006/relationships/hyperlink" Target="fdsup://factset/Doc%20Viewer%20Single?float_window=true&amp;positioning_strategy=center_on_screen&amp;_doc_docfn=U2FsdGVkX18K/NLXpjZe8EZKZCbOjpe8B+LxlUD43HlBVWKE8tGGQncFxc3EF3n1GmhWb1wLMfxh3lMXttNM4qizmExatAdJXlIdwV96jxI=&amp;_app_id=central_doc_viewer&amp;center_on_screen=true&amp;width=950&amp;height=800&amp;_dd2=%26f%3Dsld%26c%3Dtrue%26os%3D71006%26oe%3D71012" TargetMode="External"/><Relationship Id="rId248" Type="http://schemas.openxmlformats.org/officeDocument/2006/relationships/hyperlink" Target="fdsup://factset/Doc%20Viewer%20Single?float_window=true&amp;positioning_strategy=center_on_screen&amp;_doc_docfn=U2FsdGVkX19m2oLhWUcvXY7cJU0vETvPWMHxsKT54GkhfFHqdODBybSFxTJn4lYwxpmEosMk1D0H0GpqRxeUJ7ZLwaBSPrA+K+1FVQwXbyc=&amp;_app_id=central_doc_viewer&amp;center_on_screen=true&amp;width=950&amp;height=800&amp;_dd2=%26f%3Dsld%26c%3Dtrue%26os%3D63599%26oe%3D63604" TargetMode="External"/><Relationship Id="rId12" Type="http://schemas.openxmlformats.org/officeDocument/2006/relationships/hyperlink" Target="fdsup://factset/Doc%20Viewer%20Single?float_window=true&amp;positioning_strategy=center_on_screen&amp;_doc_docfn=U2FsdGVkX19KwNUOv3NrEIQj3FV/GC/RFVt8IdB2SIGwAvbCM1OC1m8nV0oTE47KTQk+QYtSmRvwdeKssVK0o12ebXhS/VO6bPc+F9U8nBo=&amp;_app_id=central_doc_viewer&amp;center_on_screen=true&amp;width=950&amp;height=800&amp;_dd2=%26f%3Dsld%26c%3Dtrue%26os%3D134971%26oe%3D134978" TargetMode="External"/><Relationship Id="rId108" Type="http://schemas.openxmlformats.org/officeDocument/2006/relationships/hyperlink" Target="fdsup://factset/Doc%20Viewer%20Single?float_window=true&amp;positioning_strategy=center_on_screen&amp;_doc_docfn=U2FsdGVkX19RxVsPQDk7SPW9X2vPHEqeutWvr+Mc/eVZ6MHqfKnwFfupzi26N9lpqymP7VskJmFqZf57D0uCGMl50umUE4wXo+XR1jEG4hY=&amp;_app_id=central_doc_viewer&amp;center_on_screen=true&amp;width=950&amp;height=800&amp;_dd2=%26f%3Dsld%26c%3Dtrue%26os%3D164686%26oe%3D164692" TargetMode="External"/><Relationship Id="rId315" Type="http://schemas.openxmlformats.org/officeDocument/2006/relationships/hyperlink" Target="fdsup://factset/Doc%20Viewer%20Single?float_window=true&amp;positioning_strategy=center_on_screen&amp;_doc_docfn=U2FsdGVkX1/5BFPd124pUPpc0aXj1cJbzKSqwzFOIU6krn1EkppeUw1BguiJvD15DX0gzvDjeWQU7akfXpV0FSZhO6dEaZbJQHE5oqUSxLQ=&amp;_app_id=central_doc_viewer&amp;center_on_screen=true&amp;width=950&amp;height=800&amp;_dd2=%26f%3Dsld%26c%3Dtrue%26os%3D71128%26oe%3D71134" TargetMode="External"/><Relationship Id="rId357" Type="http://schemas.openxmlformats.org/officeDocument/2006/relationships/hyperlink" Target="fdsup://factset/Doc%20Viewer%20Single?float_window=true&amp;positioning_strategy=center_on_screen&amp;_doc_docfn=U2FsdGVkX1/fdLrWT8/KBkI5UyenQ/olbz/UVdUUnbg5l2bUE/keJYl6nPXmIfsB3wVvThb7VAehgPxqqe2zv/8vmvcBbqQ3TEdnzls466U=&amp;_app_id=central_doc_viewer&amp;center_on_screen=true&amp;width=950&amp;height=800&amp;_dd2=%26f%3Dsld%26c%3Dtrue%26os%3D78669%26oe%3D78671" TargetMode="External"/><Relationship Id="rId54" Type="http://schemas.openxmlformats.org/officeDocument/2006/relationships/hyperlink" Target="fdsup://factset/Doc%20Viewer%20Single?float_window=true&amp;positioning_strategy=center_on_screen&amp;_doc_docfn=U2FsdGVkX1+l2m5SvWKBd7PyuB8WIiqQhM1n6G1mBTSm1qOmkRZ82wx0uzjubDwj89rilcHSxVgeILL6MCbgNjNqB/Jh04KiLWeV8WUtvvs=&amp;_app_id=central_doc_viewer&amp;center_on_screen=true&amp;width=950&amp;height=800&amp;_dd2=%26f%3Dsld%26c%3Dtrue%26os%3D72488%26oe%3D72494" TargetMode="External"/><Relationship Id="rId96" Type="http://schemas.openxmlformats.org/officeDocument/2006/relationships/hyperlink" Target="fdsup://factset/Doc%20Viewer%20Single?float_window=true&amp;positioning_strategy=center_on_screen&amp;_doc_docfn=U2FsdGVkX1+n0QfAHtWHhIvQb8RK3Ze+iGFlmYRt/B+XEM3uSO1ACo4ttZc35wOp+0mFnhpETCat3EkQm4NQSKywN7oQDpMum9nd2ax+GMo=&amp;_app_id=central_doc_viewer&amp;center_on_screen=true&amp;width=950&amp;height=800&amp;_dd2=%26f%3Dsld%26c%3Dtrue%26os%3D142825%26oe%3D142831" TargetMode="External"/><Relationship Id="rId161" Type="http://schemas.openxmlformats.org/officeDocument/2006/relationships/hyperlink" Target="fdsup://factset/Doc%20Viewer%20Single?float_window=true&amp;positioning_strategy=center_on_screen&amp;_doc_docfn=U2FsdGVkX1/Ho3Dcu6C656Fgy53wkHGW+uc6R3bJ45gxD4DeAfLkzfsd6r3+F7vcUMLUQMZRkMRKG7+11xrl9mpi/TwL2u1wxfVjHVBeO74=&amp;_app_id=central_doc_viewer&amp;center_on_screen=true&amp;width=950&amp;height=800&amp;_dd2=%26f%3Dsld%26c%3Dtrue%26os%3D61653%26oe%3D61662" TargetMode="External"/><Relationship Id="rId217" Type="http://schemas.openxmlformats.org/officeDocument/2006/relationships/hyperlink" Target="fdsup://factset/Doc%20Viewer%20Single?float_window=true&amp;positioning_strategy=center_on_screen&amp;_doc_docfn=U2FsdGVkX18optOWoUNUKV9U3zK5iUU7MUpWjmhAoqSOfvdqbRaqbv3prUM7Sg7RHd56J6lSVM3vKkaYCdvbzReZDCt8M/sT/VqFcnXR0D0=&amp;_app_id=central_doc_viewer&amp;center_on_screen=true&amp;width=950&amp;height=800&amp;_dd2=%26f%3Dsld%26c%3Dtrue%26os%3D66812%26oe%3D66822" TargetMode="External"/><Relationship Id="rId399" Type="http://schemas.openxmlformats.org/officeDocument/2006/relationships/hyperlink" Target="fdsup://factset/Doc%20Viewer%20Single?float_window=true&amp;positioning_strategy=center_on_screen&amp;_doc_docfn=U2FsdGVkX1+gUUF/UxYy3NnVespYQamUJoKaaqGDwGA9VGbMrgDV7UTGnep26ywfeB26DAUy8t1fMyghdgeRTydZ4XdJj7OxnkvGT+dZuok=&amp;_app_id=central_doc_viewer&amp;center_on_screen=true&amp;width=950&amp;height=800&amp;_dd2=%26f%3Dsld%26c%3Dtrue%26os%3D75111%26oe%3D75118" TargetMode="External"/><Relationship Id="rId259" Type="http://schemas.openxmlformats.org/officeDocument/2006/relationships/hyperlink" Target="fdsup://factset/Doc%20Viewer%20Single?float_window=true&amp;positioning_strategy=center_on_screen&amp;_doc_docfn=U2FsdGVkX1/1TzGi4WIPnTK6RHVRjy/Uq65mn9nWyEK6x3oxLS7sAOqFGbaaxcJp/9Oa+nQQVa30rs8WuortcP8Mvbe41T5fXRSC43OFjKg=&amp;_app_id=central_doc_viewer&amp;center_on_screen=true&amp;width=950&amp;height=800&amp;_dd2=%26f%3Dsld%26c%3Dtrue%26os%3D41871%26oe%3D41872" TargetMode="External"/><Relationship Id="rId23" Type="http://schemas.openxmlformats.org/officeDocument/2006/relationships/hyperlink" Target="fdsup://factset/Doc%20Viewer%20Single?float_window=true&amp;positioning_strategy=center_on_screen&amp;_doc_docfn=U2FsdGVkX1/QKW0Ezc/w2UWdqDctR2mKYgg1GNe7t7n6Z//dVx04KPq65rlm3ntacQGSmiLvAP+CronpMerGsziZT5V9iyNZSmPy1Zra5xk=&amp;_app_id=central_doc_viewer&amp;center_on_screen=true&amp;width=950&amp;height=800&amp;_dd2=%26f%3Dsld%26c%3Dtrue%26os%3D119204%26oe%3D119210" TargetMode="External"/><Relationship Id="rId119" Type="http://schemas.openxmlformats.org/officeDocument/2006/relationships/hyperlink" Target="fdsup://factset/Doc%20Viewer%20Single?float_window=true&amp;positioning_strategy=center_on_screen&amp;_doc_docfn=U2FsdGVkX1854bIOGobzXOwJR+QVv9X5ooCZ+j9rx7CY79LfRGuriGLsdjFI2rn2DPV/B1VvRl4g2dzNHXF8caXCbxPcC2zabNAfW97g7AI=&amp;_app_id=central_doc_viewer&amp;center_on_screen=true&amp;width=950&amp;height=800&amp;_dd2=%26f%3Dsld%26c%3Dtrue%26os%3D79623%26oe%3D79633" TargetMode="External"/><Relationship Id="rId270" Type="http://schemas.openxmlformats.org/officeDocument/2006/relationships/hyperlink" Target="fdsup://factset/Doc%20Viewer%20Single?float_window=true&amp;positioning_strategy=center_on_screen&amp;_doc_docfn=U2FsdGVkX1+JhlWmG37oCDmZzeGv6E92BCJJXPhGsynoVlHRaRwkFyj0eh1pmutMGNnZxSRZUXa/Dd0RTH9voWgssJbD4OgqzaqgriPZa28=&amp;_app_id=central_doc_viewer&amp;center_on_screen=true&amp;width=950&amp;height=800&amp;_dd2=%26f%3Dsld%26c%3Dtrue%26os%3D47715%26oe%3D47716" TargetMode="External"/><Relationship Id="rId326" Type="http://schemas.openxmlformats.org/officeDocument/2006/relationships/hyperlink" Target="fdsup://factset/Doc%20Viewer%20Single?float_window=true&amp;positioning_strategy=center_on_screen&amp;_doc_docfn=U2FsdGVkX19/NMpX38PW+5zi3lyuiwbneborxSayLVad3bcISVpxqAoj3CUWrlrvpUqqOg6t/r4bRmZDwunt8HmwlXHRWev+qx1566C9lhk=&amp;_app_id=central_doc_viewer&amp;center_on_screen=true&amp;width=950&amp;height=800&amp;_dd2=%26f%3Dsld%26c%3Dtrue%26os%3D66013%26oe%3D66022" TargetMode="External"/><Relationship Id="rId65" Type="http://schemas.openxmlformats.org/officeDocument/2006/relationships/hyperlink" Target="fdsup://factset/Doc%20Viewer%20Single?float_window=true&amp;positioning_strategy=center_on_screen&amp;_doc_docfn=U2FsdGVkX1+HNYhwy3Yr/CuJtRnjLiuUsB+cKNgK1zFpK0Rc56by4sEhccxJY2n22s3FCgfexHAiU3n/+5ZmM7NOlY0CQQGS3x/xoJBFyxs=&amp;_app_id=central_doc_viewer&amp;center_on_screen=true&amp;width=950&amp;height=800&amp;_dd2=%26f%3Dsld%26c%3Dtrue%26os%3D139856%26oe%3D139859" TargetMode="External"/><Relationship Id="rId130" Type="http://schemas.openxmlformats.org/officeDocument/2006/relationships/hyperlink" Target="fdsup://factset/Doc%20Viewer%20Single?float_window=true&amp;positioning_strategy=center_on_screen&amp;_doc_docfn=U2FsdGVkX18ZIfJfSHg9ge3DhiCMyUi/YTOBzbbpAs1QPGWXHWlNgizgn5err/7emmgfafPWVQh+yYMoxzCWYxszOWB5eOO9C/5ysACPnMo=&amp;_app_id=central_doc_viewer&amp;center_on_screen=true&amp;width=950&amp;height=800&amp;_dd2=%26f%3Dsld%26c%3Dtrue%26os%3D57616%26oe%3D57626" TargetMode="External"/><Relationship Id="rId368" Type="http://schemas.openxmlformats.org/officeDocument/2006/relationships/hyperlink" Target="fdsup://factset/Doc%20Viewer%20Single?float_window=true&amp;positioning_strategy=center_on_screen&amp;_doc_docfn=U2FsdGVkX1+8FBpBSzXHJVkdWT+dXkV26kX3z89XnZiiyiiYzMVr66BZiBDewdox7YHpzztAUd3KqM/ScowAQ/UjToBg+OBqfzoPs+hDnhk=&amp;_app_id=central_doc_viewer&amp;center_on_screen=true&amp;width=950&amp;height=800&amp;_dd2=%26f%3Dsld%26c%3Dtrue%26os%3D60559%26oe%3D60565" TargetMode="External"/><Relationship Id="rId172" Type="http://schemas.openxmlformats.org/officeDocument/2006/relationships/hyperlink" Target="fdsup://factset/Doc%20Viewer%20Single?float_window=true&amp;positioning_strategy=center_on_screen&amp;_doc_docfn=U2FsdGVkX19QiNke2eLStFpGRlvboA3GLkz1wPoyyyX8Mz25S6IuZ8+4Q6nI6ydjfVRUUygApiUJm3LBAd/PIHJdtC7P4whQ5T9sSh6Cnuc=&amp;_app_id=central_doc_viewer&amp;center_on_screen=true&amp;width=950&amp;height=800&amp;_dd2=%26f%3Dsld%26c%3Dtrue%26os%3D57223%26oe%3D57228" TargetMode="External"/><Relationship Id="rId228" Type="http://schemas.openxmlformats.org/officeDocument/2006/relationships/hyperlink" Target="fdsup://factset/Doc%20Viewer%20Single?float_window=true&amp;positioning_strategy=center_on_screen&amp;_doc_docfn=U2FsdGVkX1+D68aohnMY46Aj1gbvZ49dV4CtZ4XPv+Wh9M534Q0P2RPvD6sJwXatSr80gtcZrauHJ34WQu56QK1ppOFxDiQVoAJd83vArrg=&amp;_app_id=central_doc_viewer&amp;center_on_screen=true&amp;width=950&amp;height=800&amp;_dd2=%26f%3Dsld%26c%3Dtrue%26os%3D65657%26oe%3D65664" TargetMode="External"/><Relationship Id="rId281" Type="http://schemas.openxmlformats.org/officeDocument/2006/relationships/hyperlink" Target="fdsup://factset/Doc%20Viewer%20Single?float_window=true&amp;positioning_strategy=center_on_screen&amp;_doc_docfn=U2FsdGVkX18cGeDi2lQ2hgVlVX8jQehdV7b1RCCgNY6QmrRWi2Yd7JPtgRtADiEnAzffHI6MwC6fopd91Clx3derGO6DpJhsZerX0q2YbLw=&amp;_app_id=central_doc_viewer&amp;center_on_screen=true&amp;width=950&amp;height=800&amp;_dd2=%26f%3Dsld%26c%3Dtrue%26os%3D43301%26oe%3D43309" TargetMode="External"/><Relationship Id="rId337" Type="http://schemas.openxmlformats.org/officeDocument/2006/relationships/hyperlink" Target="fdsup://factset/Doc%20Viewer%20Single?float_window=true&amp;positioning_strategy=center_on_screen&amp;_doc_docfn=U2FsdGVkX1+z0Dth0H/iiI3rTg+XNl0+nfV0Sj+LdA7588HEANPBW0FNyCVrBQGHn9ZJySe8JRtr6RZBNVipxWSXCEQs5lH3k0ONeF2k2jk=&amp;_app_id=central_doc_viewer&amp;center_on_screen=true&amp;width=950&amp;height=800&amp;_dd2=%26f%3Dsld%26c%3Dtrue%26os%3D64140%26oe%3D64146" TargetMode="External"/><Relationship Id="rId34" Type="http://schemas.openxmlformats.org/officeDocument/2006/relationships/hyperlink" Target="fdsup://factset/Doc%20Viewer%20Single?float_window=true&amp;positioning_strategy=center_on_screen&amp;_doc_docfn=U2FsdGVkX1+kEBrLw0RFBxNJnhuR0KmuxUXIsPioc7VeNFki/nAZ/FdeZ4h17g7mQ6Hci0Abjvi4lgsO515gkg2jMpeiciQ5Luk5sz5f0kw=&amp;_app_id=central_doc_viewer&amp;center_on_screen=true&amp;width=950&amp;height=800&amp;_dd2=%26f%3Dsld%26c%3Dtrue%26os%3D71364%26oe%3D71365" TargetMode="External"/><Relationship Id="rId76" Type="http://schemas.openxmlformats.org/officeDocument/2006/relationships/hyperlink" Target="fdsup://factset/Doc%20Viewer%20Single?float_window=true&amp;positioning_strategy=center_on_screen&amp;_doc_docfn=U2FsdGVkX1+LC78RAmtfP/9f7OQ8FTnfpflP2/4KvbH8GoPg3SnU2+W5M5HAuRZAVe149DBNa3tg47SwpVR99/ykfCteqoYuFIqDHcpj2d4=&amp;_app_id=central_doc_viewer&amp;center_on_screen=true&amp;width=950&amp;height=800&amp;_dd2=%26f%3Dsld%26c%3Dtrue%26os%3D157088%26oe%3D157094" TargetMode="External"/><Relationship Id="rId141" Type="http://schemas.openxmlformats.org/officeDocument/2006/relationships/hyperlink" Target="fdsup://factset/Doc%20Viewer%20Single?float_window=true&amp;positioning_strategy=center_on_screen&amp;_doc_docfn=U2FsdGVkX18RsMzTAPpu3X+xmcJpRHf+NiY75qZ6FU4lRVtV8FkWyRWbi00TA9hrM5PRhGv/qKXlKjPmeNDai36ZFaJTfqzs4dgoJ4Xn/eY=&amp;_app_id=central_doc_viewer&amp;center_on_screen=true&amp;width=950&amp;height=800&amp;_dd2=%26f%3Dsld%26c%3Dtrue%26os%3D59177%26oe%3D59187" TargetMode="External"/><Relationship Id="rId379" Type="http://schemas.openxmlformats.org/officeDocument/2006/relationships/hyperlink" Target="fdsup://factset/Doc%20Viewer%20Single?float_window=true&amp;positioning_strategy=center_on_screen&amp;_doc_docfn=U2FsdGVkX188st+DY51Pb9koOT3LpVsGrPSTxymaTro8Dx9C7xI560jI99VISYj5C8bcsR2MggJzvL71UOO0mLzCjMVnVzl+B5f/jsalI7M=&amp;_app_id=central_doc_viewer&amp;center_on_screen=true&amp;width=950&amp;height=800&amp;_dd2=%26f%3Dsld%26c%3Dtrue%26os%3D72392%26oe%3D72399" TargetMode="External"/><Relationship Id="rId7" Type="http://schemas.openxmlformats.org/officeDocument/2006/relationships/hyperlink" Target="fdsup://factset/Doc%20Viewer%20Single?float_window=true&amp;positioning_strategy=center_on_screen&amp;_doc_docfn=U2FsdGVkX1/Tx7dLryO/8R+FYxPBl4uD9C0sWS+j5m9976rvXhp988YXDI6QOFWhP/RuM14YIAY69Uo2P4E9y0lvHSZRp5wEL7glsJ0P/i4=&amp;_app_id=central_doc_viewer&amp;center_on_screen=true&amp;width=950&amp;height=800&amp;_dd2=%26f%3Dsld%26c%3Dtrue%26os%3D118212%26oe%3D118219" TargetMode="External"/><Relationship Id="rId183" Type="http://schemas.openxmlformats.org/officeDocument/2006/relationships/hyperlink" Target="fdsup://factset/Doc%20Viewer%20Single?float_window=true&amp;positioning_strategy=center_on_screen&amp;_doc_docfn=U2FsdGVkX1+t4iV9MIpOVtt1lr4w5VAbL9S/ArIpyqELY/Sbb1F18gCcBadY8Fa4NTwEUUWPpazbhqZYrwyh+nW8FXVKW9ZBF3zXuI4Uj3Q=&amp;_app_id=central_doc_viewer&amp;center_on_screen=true&amp;width=950&amp;height=800&amp;_dd2=%26f%3Dsld%26c%3Dtrue%26os%3D58162%26oe%3D58168" TargetMode="External"/><Relationship Id="rId239" Type="http://schemas.openxmlformats.org/officeDocument/2006/relationships/hyperlink" Target="fdsup://factset/Doc%20Viewer%20Single?float_window=true&amp;positioning_strategy=center_on_screen&amp;_doc_docfn=U2FsdGVkX19H5NbJqTIG3uZmORKTWJHzN3Tt93UIUbVenYSEjztj0Q3AJk0YT9/GfOY0mysQJcF2YP8GM75i7wdaEsRkCKFUoIdTED6iKaY=&amp;_app_id=central_doc_viewer&amp;center_on_screen=true&amp;width=950&amp;height=800&amp;_dd2=%26f%3Dsld%26c%3Dtrue%26os%3D74839%26oe%3D74840" TargetMode="External"/><Relationship Id="rId390" Type="http://schemas.openxmlformats.org/officeDocument/2006/relationships/hyperlink" Target="fdsup://factset/Doc%20Viewer%20Single?float_window=true&amp;positioning_strategy=center_on_screen&amp;_doc_docfn=U2FsdGVkX1/dI9hVQimCVnHJYi4OIgpMZ0IeAUsoh5VZnpECLtM+l0u3FUnX/4w30Ar2HwPRHg2g0mLiPH8E3OWU07djaAcFpkZ5IQqG5v8=&amp;_app_id=central_doc_viewer&amp;center_on_screen=true&amp;width=950&amp;height=800&amp;_dd2=%26f%3Dsld%26c%3Dtrue%26os%3D71440%26oe%3D71446" TargetMode="External"/><Relationship Id="rId250" Type="http://schemas.openxmlformats.org/officeDocument/2006/relationships/hyperlink" Target="fdsup://factset/Doc%20Viewer%20Single?float_window=true&amp;positioning_strategy=center_on_screen&amp;_doc_docfn=U2FsdGVkX1/5g7qujdHHOkhOXGwnFp2iHW1BLGBun2ISCXAT+eLLQYrjvJohVsWtC4nljXK0C59QYu60Mg1IFDioi26e87EIA5jtxR6HQ9w=&amp;_app_id=central_doc_viewer&amp;center_on_screen=true&amp;width=950&amp;height=800&amp;_dd2=%26f%3Dsld%26c%3Dtrue%26os%3D74384%26oe%3D74395" TargetMode="External"/><Relationship Id="rId292" Type="http://schemas.openxmlformats.org/officeDocument/2006/relationships/hyperlink" Target="fdsup://factset/Doc%20Viewer%20Single?float_window=true&amp;positioning_strategy=center_on_screen&amp;_doc_docfn=U2FsdGVkX18lWe2iN8m8X31pPgzNFitgQJ/3TXYAT7lJ59oG8siWf7ZlFktFIaXkXlxY00iNiwrEGiRzKP3cmXaG0GnEulRBRX0zOJ0bKLY=&amp;_app_id=central_doc_viewer&amp;center_on_screen=true&amp;width=950&amp;height=800&amp;_dd2=%26f%3Dsld%26c%3Dtrue%26os%3D59664%26oe%3D59666" TargetMode="External"/><Relationship Id="rId306" Type="http://schemas.openxmlformats.org/officeDocument/2006/relationships/hyperlink" Target="fdsup://factset/Doc%20Viewer%20Single?float_window=true&amp;positioning_strategy=center_on_screen&amp;_doc_docfn=U2FsdGVkX19IAE+1KVhtTDmylfLNWbFYslV02yZFGwqMlvDspxUBx60r+vDmbAQCyKwS0ahqXyPG9A56y/sRIxhaQ9E1rSe4XajNO4GNlnY=&amp;_app_id=central_doc_viewer&amp;center_on_screen=true&amp;width=950&amp;height=800&amp;_dd2=%26f%3Dsld%26c%3Dtrue%26os%3D69309%26oe%3D69316" TargetMode="External"/><Relationship Id="rId45" Type="http://schemas.openxmlformats.org/officeDocument/2006/relationships/hyperlink" Target="fdsup://factset/Doc%20Viewer%20Single?float_window=true&amp;positioning_strategy=center_on_screen&amp;_doc_docfn=U2FsdGVkX1833pJlxjJwQaIbFaKwmZDu3b65aejJ+YZeA0oqaDXoqiBPhkgqTPp8ea3s1JxQSX/br4+xzFp46d7UCNpVkSqSyg28mahK02o=&amp;_app_id=central_doc_viewer&amp;center_on_screen=true&amp;width=950&amp;height=800&amp;_dd2=%26f%3Dsld%26c%3Dtrue%26os%3D137893%26oe%3D137894" TargetMode="External"/><Relationship Id="rId87" Type="http://schemas.openxmlformats.org/officeDocument/2006/relationships/hyperlink" Target="fdsup://factset/Doc%20Viewer%20Single?float_window=true&amp;positioning_strategy=center_on_screen&amp;_doc_docfn=U2FsdGVkX1+I7zBvrriHrt/wIIq9REzQddozyr6ldTg3iVm3LUdEuLE0H/h05X8PIZNoA7gO52yYtp6rGi4vGrAKwYNWQRdJ7MDg9bJHIUQ=&amp;_app_id=central_doc_viewer&amp;center_on_screen=true&amp;width=950&amp;height=800&amp;_dd2=%26f%3Dsld%26c%3Dtrue%26os%3D75499%26oe%3D75505" TargetMode="External"/><Relationship Id="rId110" Type="http://schemas.openxmlformats.org/officeDocument/2006/relationships/hyperlink" Target="fdsup://factset/Doc%20Viewer%20Single?float_window=true&amp;positioning_strategy=center_on_screen&amp;_doc_docfn=U2FsdGVkX19xWpE/bVkfBfcJ2uAaKt1nWLHAenNNcil1MD/FxChfHxixytCTelgfH45iLIAbPfyWoIk2R0dD35jGH3Bf+dSvrJF+IMlnPE4=&amp;_app_id=central_doc_viewer&amp;center_on_screen=true&amp;width=950&amp;height=800&amp;_dd2=%26f%3Dsld%26c%3Dtrue%26os%3D125968%26oe%3D125972" TargetMode="External"/><Relationship Id="rId348" Type="http://schemas.openxmlformats.org/officeDocument/2006/relationships/hyperlink" Target="fdsup://factset/Doc%20Viewer%20Single?float_window=true&amp;positioning_strategy=center_on_screen&amp;_doc_docfn=U2FsdGVkX1/3PTXZ+QL33Cc/l2Ps24figai/wdeLkzZ59Tpv7w5AO46ZtciOGSt0w50p1OAzWTPU6+C9up0nH4ah5yfE1YvyiulLAkE2+z4=&amp;_app_id=central_doc_viewer&amp;center_on_screen=true&amp;width=950&amp;height=800&amp;_dd2=%26f%3Dsld%26c%3Dtrue%26os%3D68844%26oe%3D68850" TargetMode="External"/><Relationship Id="rId152" Type="http://schemas.openxmlformats.org/officeDocument/2006/relationships/hyperlink" Target="fdsup://factset/Doc%20Viewer%20Single?float_window=true&amp;positioning_strategy=center_on_screen&amp;_doc_docfn=U2FsdGVkX194IMIyhs9xgpkYpOUY1BLi4fdi/yKVStmJc/cuzxmaGDZZ8pW7zw0D70c/Yry+ZyACeu0ynhYju1qMb5R5EzmbqL2J09Msf8Y=&amp;_app_id=central_doc_viewer&amp;center_on_screen=true&amp;width=950&amp;height=800&amp;_dd2=%26f%3Dsld%26c%3Dtrue%26os%3D55334%26oe%3D55339" TargetMode="External"/><Relationship Id="rId194" Type="http://schemas.openxmlformats.org/officeDocument/2006/relationships/hyperlink" Target="fdsup://factset/Doc%20Viewer%20Single?float_window=true&amp;positioning_strategy=center_on_screen&amp;_doc_docfn=U2FsdGVkX19AvBFRYEQInLJ0djIS6pPCtGWBwVvAgMQw4YwTVXuTwzqwz/F4YbkRsHBKZDGFLloKpCmSNGJU2bbBOVgh+D+7fQYfK+62qlY=&amp;_app_id=central_doc_viewer&amp;center_on_screen=true&amp;width=950&amp;height=800&amp;_dd2=%26f%3Dsld%26c%3Dtrue%26os%3D71128%26oe%3D71139" TargetMode="External"/><Relationship Id="rId208" Type="http://schemas.openxmlformats.org/officeDocument/2006/relationships/hyperlink" Target="fdsup://factset/Doc%20Viewer%20Single?float_window=true&amp;positioning_strategy=center_on_screen&amp;_doc_docfn=U2FsdGVkX1/SVF/t4sxLqPnPoY6rGKyx+pM7mm6hcz1BcRiTqZD8PL2UDfndmjfuPHnr16q8JIIL9dGM1t3batqOj+PnNK2uMxWh7wA6DsE=&amp;_app_id=central_doc_viewer&amp;center_on_screen=true&amp;width=950&amp;height=800&amp;_dd2=%26f%3Dsld%26c%3Dtrue%26os%3D35711%26oe%3D35717" TargetMode="External"/><Relationship Id="rId261" Type="http://schemas.openxmlformats.org/officeDocument/2006/relationships/hyperlink" Target="fdsup://factset/Doc%20Viewer%20Single?float_window=true&amp;positioning_strategy=center_on_screen&amp;_doc_docfn=U2FsdGVkX18V3AvYC2mABKnV/FbQI9SKZI9kPhmU1+zKc8CgT+BU+xUXoHomBho3rXPlOaxQ5TujddvELbKoq5esLMM2aiAftj0qg3Oz/dI=&amp;_app_id=central_doc_viewer&amp;center_on_screen=true&amp;width=950&amp;height=800&amp;_dd2=%26f%3Dsld%26c%3Dtrue%26os%3D86678%26oe%3D86684" TargetMode="External"/><Relationship Id="rId14" Type="http://schemas.openxmlformats.org/officeDocument/2006/relationships/hyperlink" Target="fdsup://factset/Doc%20Viewer%20Single?float_window=true&amp;positioning_strategy=center_on_screen&amp;_doc_docfn=U2FsdGVkX19DUqGhn2h1tlzhOJn6cbRg6bo/KIY+DEu4tjgdghCoTYdyxTU+eC+kT/4foLNU3ERzWia6sdcuLTnYtUoUUdByHOMf1fjtstc=&amp;_app_id=central_doc_viewer&amp;center_on_screen=true&amp;width=950&amp;height=800&amp;_dd2=%26f%3Dsld%26c%3Dtrue%26os%3D120405%26oe%3D120412" TargetMode="External"/><Relationship Id="rId56" Type="http://schemas.openxmlformats.org/officeDocument/2006/relationships/hyperlink" Target="fdsup://factset/Doc%20Viewer%20Single?float_window=true&amp;positioning_strategy=center_on_screen&amp;_doc_docfn=U2FsdGVkX18QXL4Z7/ixRPg/ft8PbmrgoUiKJ2tnRk35h65QEc/kxoOzzhb9eKpFi1nHezJVzEyhKldDrYSkoUIVD4BtKyjrjBgeRmQ/HFM=&amp;_app_id=central_doc_viewer&amp;center_on_screen=true&amp;width=950&amp;height=800&amp;_dd2=%26f%3Dsld%26c%3Dtrue%26os%3D139124%26oe%3D139132" TargetMode="External"/><Relationship Id="rId317" Type="http://schemas.openxmlformats.org/officeDocument/2006/relationships/hyperlink" Target="fdsup://factset/Doc%20Viewer%20Single?float_window=true&amp;positioning_strategy=center_on_screen&amp;_doc_docfn=U2FsdGVkX19jUjNQ5svqaZ18Scxesa0x5NjkOgd1X+AAn6C/zAXkYJPxEDUpNaCbU6iFr+/dxv8fGXdD8HmLWDGaE0CzGfCvoTtbty5rb0E=&amp;_app_id=central_doc_viewer&amp;center_on_screen=true&amp;width=950&amp;height=800&amp;_dd2=%26f%3Dsld%26c%3Dtrue%26os%3D75779%26oe%3D75786" TargetMode="External"/><Relationship Id="rId359" Type="http://schemas.openxmlformats.org/officeDocument/2006/relationships/hyperlink" Target="fdsup://factset/Doc%20Viewer%20Single?float_window=true&amp;positioning_strategy=center_on_screen&amp;_doc_docfn=U2FsdGVkX1/LZsQ3SamPvRaYjZUD39Utsj22mJVeMwvcbB7spkpVBz6GF9S4CMpdGB9PIURuYL2JP8xTg2yIn3W75NlOYhw8D0N2EXBXmaY=&amp;_app_id=central_doc_viewer&amp;center_on_screen=true&amp;width=950&amp;height=800&amp;_dd2=%26f%3Dsld%26c%3Dtrue%26os%3D77722%26oe%3D77727" TargetMode="External"/><Relationship Id="rId98" Type="http://schemas.openxmlformats.org/officeDocument/2006/relationships/hyperlink" Target="fdsup://factset/Doc%20Viewer%20Single?float_window=true&amp;positioning_strategy=center_on_screen&amp;_doc_docfn=U2FsdGVkX19K6FigwPIQDSLk5rIkP3glzwT3hrmimRf3k4b0IYOIKfLGrXWZ7J8vCkF2MjeIx/CqTN/HCCnBuY/ZyUeJHfsC/l/ZViaiAN4=&amp;_app_id=central_doc_viewer&amp;center_on_screen=true&amp;width=950&amp;height=800&amp;_dd2=%26f%3Dsld%26c%3Dtrue%26os%3D143207%26oe%3D143213" TargetMode="External"/><Relationship Id="rId121" Type="http://schemas.openxmlformats.org/officeDocument/2006/relationships/hyperlink" Target="fdsup://factset/Doc%20Viewer%20Single?float_window=true&amp;positioning_strategy=center_on_screen&amp;_doc_docfn=U2FsdGVkX19xon+MxU0YQeJF+/Axs4GOH1HPIBsa36Bm+x6dFoehl6JHQBdXgaMDG1gEq1CPDn9+9pS0Z3r4ViqFJOrJC1KjZaD2VZkJq/w=&amp;_app_id=central_doc_viewer&amp;center_on_screen=true&amp;width=950&amp;height=800&amp;_dd2=%26f%3Dsld%26c%3Dtrue%26os%3D59582%26oe%3D59589" TargetMode="External"/><Relationship Id="rId163" Type="http://schemas.openxmlformats.org/officeDocument/2006/relationships/hyperlink" Target="fdsup://factset/Doc%20Viewer%20Single?float_window=true&amp;positioning_strategy=center_on_screen&amp;_doc_docfn=U2FsdGVkX1/QlMLWm/eCrAOSjx3eIyUtQ/PS95B+J+4vwSGKtgrSeZjW8GWqVebEncv+6TVrmwQAIRtKOpnWQZVzcmv0u4Ov56E7EZ1n6ew=&amp;_app_id=central_doc_viewer&amp;center_on_screen=true&amp;width=950&amp;height=800&amp;_dd2=%26f%3Dsld%26c%3Dtrue%26os%3D67491%26oe%3D67492" TargetMode="External"/><Relationship Id="rId219" Type="http://schemas.openxmlformats.org/officeDocument/2006/relationships/hyperlink" Target="fdsup://factset/Doc%20Viewer%20Single?float_window=true&amp;positioning_strategy=center_on_screen&amp;_doc_docfn=U2FsdGVkX19rWrrX4TgGAoBShG2NVKF6m0TCI+Mp5hCpTiEE5Qv5bEa6AyaL7iXwaVnUiveji1GqOH6G6E/zXpf+B6OOsdCIZSGsSNyTMxc=&amp;_app_id=central_doc_viewer&amp;center_on_screen=true&amp;width=950&amp;height=800&amp;_dd2=%26f%3Dsld%26c%3Dtrue%26os%3D72551%26oe%3D72556" TargetMode="External"/><Relationship Id="rId370" Type="http://schemas.openxmlformats.org/officeDocument/2006/relationships/hyperlink" Target="fdsup://factset/Doc%20Viewer%20Single?float_window=true&amp;positioning_strategy=center_on_screen&amp;_doc_docfn=U2FsdGVkX1+RNykpRkMtphdSugdniKHiM67NzG1VcOroGxBUZCIUvkSHMbHSMtsnSAcSThDuzyuZjk02YqUZnpYcEf61cm1jRObCWbSSOn4=&amp;_app_id=central_doc_viewer&amp;center_on_screen=true&amp;width=950&amp;height=800&amp;_dd2=%26f%3Dsld%26c%3Dtrue%26os%3D61529%26oe%3D61535" TargetMode="External"/><Relationship Id="rId230" Type="http://schemas.openxmlformats.org/officeDocument/2006/relationships/hyperlink" Target="fdsup://factset/Doc%20Viewer%20Single?float_window=true&amp;positioning_strategy=center_on_screen&amp;_doc_docfn=U2FsdGVkX19w9L/yykAyUA1QB3w8PSlbc33s+Ty53BLZ+6bnc8WOCRhtuzg/V7RpIfbZg+cie2EUuobpmBlMyi7J2UPy9GpGQyVzNzIOMno=&amp;_app_id=central_doc_viewer&amp;center_on_screen=true&amp;width=950&amp;height=800&amp;_dd2=%26f%3Dsld%26c%3Dtrue%26os%3D64079%26oe%3D64085" TargetMode="External"/><Relationship Id="rId25" Type="http://schemas.openxmlformats.org/officeDocument/2006/relationships/hyperlink" Target="fdsup://factset/Doc%20Viewer%20Single?float_window=true&amp;positioning_strategy=center_on_screen&amp;_doc_docfn=U2FsdGVkX19rIQVVXXwnj+FhzdYMmeAU8MMy2rUB1R19UeXeOnO5Enn6E5NvF4NA8RaJA7y5jK/F9EEQE/Ix9vC/vfNfF07Fwrd4Gm1359Y=&amp;_app_id=central_doc_viewer&amp;center_on_screen=true&amp;width=950&amp;height=800&amp;_dd2=%26f%3Dsld%26c%3Dtrue%26os%3D135997%26oe%3D136006" TargetMode="External"/><Relationship Id="rId67" Type="http://schemas.openxmlformats.org/officeDocument/2006/relationships/hyperlink" Target="fdsup://factset/Doc%20Viewer%20Single?float_window=true&amp;positioning_strategy=center_on_screen&amp;_doc_docfn=U2FsdGVkX1/a3hhKPYgnqVlybSV7S+6cjJX+jUT7iHDEtNOjWqDCrJYrxbEizMvFWzJty5JofOKa+IDxaI6gaePDySMAciZ7oUXDesUCiac=&amp;_app_id=central_doc_viewer&amp;center_on_screen=true&amp;width=950&amp;height=800&amp;_dd2=%26f%3Dsld%26c%3Dtrue%26os%3D139978%26oe%3D139981" TargetMode="External"/><Relationship Id="rId272" Type="http://schemas.openxmlformats.org/officeDocument/2006/relationships/hyperlink" Target="fdsup://factset/Doc%20Viewer%20Single?float_window=true&amp;positioning_strategy=center_on_screen&amp;_doc_docfn=U2FsdGVkX1+DPgpLnaoAEYmMHqV1xweOV0OtldVrJi8iCDPP84oR40G3qD9qnO8abXBvEFIn/JEvGfhJT5ic7s88WXKp7qwt5rAuHxHjGzY=&amp;_app_id=central_doc_viewer&amp;center_on_screen=true&amp;width=950&amp;height=800&amp;_dd2=%26f%3Dsld%26c%3Dtrue%26os%3D67808%26oe%3D67815" TargetMode="External"/><Relationship Id="rId328" Type="http://schemas.openxmlformats.org/officeDocument/2006/relationships/hyperlink" Target="fdsup://factset/Doc%20Viewer%20Single?float_window=true&amp;positioning_strategy=center_on_screen&amp;_doc_docfn=U2FsdGVkX195iKVDyNv7IXt93rDyessZWB+vq6ghGnOCaslrpeZR6/HlUx1lrT/+pvTDuoQQw25HPqfmJWPZfRrU/1BUUKxcgeKGK8NJ+vo=&amp;_app_id=central_doc_viewer&amp;center_on_screen=true&amp;width=950&amp;height=800&amp;_dd2=%26f%3Dsld%26c%3Dtrue%26os%3D59204%26oe%3D59212" TargetMode="External"/><Relationship Id="rId132" Type="http://schemas.openxmlformats.org/officeDocument/2006/relationships/hyperlink" Target="fdsup://factset/Doc%20Viewer%20Single?float_window=true&amp;positioning_strategy=center_on_screen&amp;_doc_docfn=U2FsdGVkX1/YClrmplNglaZMkUjiD/1cGqfJVtDIiqqoX/RJb5S1rNyFlCvk5NDzPOjzZ7CW6WLX2So355oEnpIDGTd+FX2k3AVY2WIkQlI=&amp;_app_id=central_doc_viewer&amp;center_on_screen=true&amp;width=950&amp;height=800&amp;_dd2=%26f%3Dsld%26c%3Dtrue%26os%3D63973%26oe%3D63979" TargetMode="External"/><Relationship Id="rId174" Type="http://schemas.openxmlformats.org/officeDocument/2006/relationships/hyperlink" Target="fdsup://factset/Doc%20Viewer%20Single?float_window=true&amp;positioning_strategy=center_on_screen&amp;_doc_docfn=U2FsdGVkX18acGvZVc/iFOUv6MCmcAh7yBPcMq0GJERGvpiFMmdepzHw/fO15V/PhdPWdckSaBO6l7tVqXIBzIg5LyeULIYafsSlrlAHtuI=&amp;_app_id=central_doc_viewer&amp;center_on_screen=true&amp;width=950&amp;height=800&amp;_dd2=%26f%3Dsld%26c%3Dtrue%26os%3D63091%26oe%3D63098" TargetMode="External"/><Relationship Id="rId381" Type="http://schemas.openxmlformats.org/officeDocument/2006/relationships/hyperlink" Target="fdsup://factset/Doc%20Viewer%20Single?float_window=true&amp;positioning_strategy=center_on_screen&amp;_doc_docfn=U2FsdGVkX1/RQPTnznB/b/4dci14pFOiNLbchJCbBUeuWgF2b1IqAGonoMne5dmkXmXcobcGAaDBSa9lMlErt/A/NEbdJokJu1KqDP39DnU=&amp;_app_id=central_doc_viewer&amp;center_on_screen=true&amp;width=950&amp;height=800&amp;_dd2=%26f%3Dsld%26c%3Dtrue%26os%3D66559%26oe%3D66566" TargetMode="External"/><Relationship Id="rId241" Type="http://schemas.openxmlformats.org/officeDocument/2006/relationships/hyperlink" Target="fdsup://factset/Doc%20Viewer%20Single?float_window=true&amp;positioning_strategy=center_on_screen&amp;_doc_docfn=U2FsdGVkX19T44ER4EE0HJWFJtVjXQ+5HWu6JyqjQzh85dAT1/a1MniTYwrA8iD2njunEPhUIBdqulgBIZQn4+W3M/9amkwbHrLypduFN4E=&amp;_app_id=central_doc_viewer&amp;center_on_screen=true&amp;width=950&amp;height=800&amp;_dd2=%26f%3Dsld%26c%3Dtrue%26os%3D64685%26oe%3D64691" TargetMode="External"/><Relationship Id="rId36" Type="http://schemas.openxmlformats.org/officeDocument/2006/relationships/hyperlink" Target="fdsup://factset/Doc%20Viewer%20Single?float_window=true&amp;positioning_strategy=center_on_screen&amp;_doc_docfn=U2FsdGVkX19aiSfF+QF5IK8UKTYcAeb5dppVg9HzjjLo5h2GPCf6a9tZzIeBsA/hiURfdXloX1Vr7sX3paNgED+JpZiROd4MfT/ZUD8NJpk=&amp;_app_id=central_doc_viewer&amp;center_on_screen=true&amp;width=950&amp;height=800&amp;_dd2=%26f%3Dsld%26c%3Dtrue%26os%3D136985%26oe%3D136990" TargetMode="External"/><Relationship Id="rId283" Type="http://schemas.openxmlformats.org/officeDocument/2006/relationships/hyperlink" Target="fdsup://factset/Doc%20Viewer%20Single?float_window=true&amp;positioning_strategy=center_on_screen&amp;_doc_docfn=U2FsdGVkX19cGYOyK6ADFQ1wDOQqBhdgr2jMFYQsBbqDmwB7GvOGn8RXV+/R6OFIqfavKmkLtTZNRn/jw9KaC6YoqWPZiICE3OcAOXLXGRM=&amp;_app_id=central_doc_viewer&amp;center_on_screen=true&amp;width=950&amp;height=800&amp;_dd2=%26f%3Dsld%26c%3Dtrue%26os%3D68877%26oe%3D68878" TargetMode="External"/><Relationship Id="rId339" Type="http://schemas.openxmlformats.org/officeDocument/2006/relationships/hyperlink" Target="fdsup://factset/Doc%20Viewer%20Single?float_window=true&amp;positioning_strategy=center_on_screen&amp;_doc_docfn=U2FsdGVkX190w9/3TwWGNAEzIMQFzWNf7aNS7bX0EXODYDS4iwq57ppXePSddIbyDzwNkomR3WLJgvys07ylYwwpfWJcidEdo5NRWRutQoo=&amp;_app_id=central_doc_viewer&amp;center_on_screen=true&amp;width=950&amp;height=800&amp;_dd2=%26f%3Dsld%26c%3Dtrue%26os%3D65105%26oe%3D65111" TargetMode="External"/><Relationship Id="rId78" Type="http://schemas.openxmlformats.org/officeDocument/2006/relationships/hyperlink" Target="fdsup://factset/Doc%20Viewer%20Single?float_window=true&amp;positioning_strategy=center_on_screen&amp;_doc_docfn=U2FsdGVkX1+cBfkrzanTcbgfCwPRPBLS5bpCh0WqR+7GdTaKnm6Qnjg+bUEpJzkkv7d/Y0e+U/JhM4oPhDt69QFIOIlEkf2D67ywJq6Z1W4=&amp;_app_id=central_doc_viewer&amp;center_on_screen=true&amp;width=950&amp;height=800&amp;_dd2=%26f%3Dsld%26c%3Dtrue%26os%3D123072%26oe%3D123078" TargetMode="External"/><Relationship Id="rId101" Type="http://schemas.openxmlformats.org/officeDocument/2006/relationships/hyperlink" Target="fdsup://factset/Doc%20Viewer%20Single?float_window=true&amp;positioning_strategy=center_on_screen&amp;_doc_docfn=U2FsdGVkX19oIYLT4VRPjEShyi301OoijQ+pDYdt5fGyhLYqGHdjuP86u9FsHa8dSIQI70NStqaB1P7JJ8UbyEzTTfsDCVLQt8QVOoKrKE8=&amp;_app_id=central_doc_viewer&amp;center_on_screen=true&amp;width=950&amp;height=800&amp;_dd2=%26f%3Dsld%26c%3Dtrue%26os%3D127863%26oe%3D127869" TargetMode="External"/><Relationship Id="rId143" Type="http://schemas.openxmlformats.org/officeDocument/2006/relationships/hyperlink" Target="fdsup://factset/Doc%20Viewer%20Single?float_window=true&amp;positioning_strategy=center_on_screen&amp;_doc_docfn=U2FsdGVkX19AiYDqG+vjJZn1cEyGfSNCtSjRqT9Sxz9w3T7JPe9G7+EdU32/h6lkaBgH2lowywVp//NDtpO0zd2pBk4bxie6BpmrWOgLbok=&amp;_app_id=central_doc_viewer&amp;center_on_screen=true&amp;width=950&amp;height=800&amp;_dd2=%26f%3Dsld%26c%3Dtrue%26os%3D65063%26oe%3D65069" TargetMode="External"/><Relationship Id="rId185" Type="http://schemas.openxmlformats.org/officeDocument/2006/relationships/hyperlink" Target="fdsup://factset/Doc%20Viewer%20Single?float_window=true&amp;positioning_strategy=center_on_screen&amp;_doc_docfn=U2FsdGVkX1+Fmxs3cIvS+9bFANy7qYMUBn/u1fTpOssNxPqcukKXoxKfp5qyicOtYKeQSFEoDI0ZLAZpaH8Ym30yzGYgla9KiuePxM2OkAo=&amp;_app_id=central_doc_viewer&amp;center_on_screen=true&amp;width=950&amp;height=800&amp;_dd2=%26f%3Dsld%26c%3Dtrue%26os%3D59146%26oe%3D59149" TargetMode="External"/><Relationship Id="rId350" Type="http://schemas.openxmlformats.org/officeDocument/2006/relationships/hyperlink" Target="fdsup://factset/Doc%20Viewer%20Single?float_window=true&amp;positioning_strategy=center_on_screen&amp;_doc_docfn=U2FsdGVkX1/XlBkGQOugyG7Nq72dOTLE9kBj7kGHARSrqCmKTmQDwus4WJh9T9j0om8oWGVWYN/Np7x6miUceEE2TJHPUauxro5zUprgTfY=&amp;_app_id=central_doc_viewer&amp;center_on_screen=true&amp;width=950&amp;height=800&amp;_dd2=%26f%3Dsld%26c%3Dtrue%26os%3D70111%26oe%3D70118" TargetMode="External"/><Relationship Id="rId9" Type="http://schemas.openxmlformats.org/officeDocument/2006/relationships/hyperlink" Target="fdsup://factset/Doc%20Viewer%20Single?float_window=true&amp;positioning_strategy=center_on_screen&amp;_doc_docfn=U2FsdGVkX18HcgQvSrqrMEAUQ7G8NNx+7ScPUsY/OfErlITwtAJO6ehVRXGImDFPzuZcGjF8OEgdg3Yai9bdcemem4LShJxiowOrUh/9E7s=&amp;_app_id=central_doc_viewer&amp;center_on_screen=true&amp;width=950&amp;height=800&amp;_dd2=%26f%3Dsld%26c%3Dtrue%26os%3D134575%26oe%3D134584" TargetMode="External"/><Relationship Id="rId210" Type="http://schemas.openxmlformats.org/officeDocument/2006/relationships/hyperlink" Target="fdsup://factset/Doc%20Viewer%20Single?float_window=true&amp;positioning_strategy=center_on_screen&amp;_doc_docfn=U2FsdGVkX1/XU1qOq3XQMLT2dtEY0xiVkzxNgqoYLYU2WNzIDaeZHvZobu5uun5BCuTtv60+vSEMaMncvY2jUpnmcZVQl4lAtNOz0y8kkvk=&amp;_app_id=central_doc_viewer&amp;center_on_screen=true&amp;width=950&amp;height=800&amp;_dd2=%26f%3Dsld%26c%3Dtrue%26os%3D60868%26oe%3D60874" TargetMode="External"/><Relationship Id="rId392" Type="http://schemas.openxmlformats.org/officeDocument/2006/relationships/hyperlink" Target="fdsup://factset/Doc%20Viewer%20Single?float_window=true&amp;positioning_strategy=center_on_screen&amp;_doc_docfn=U2FsdGVkX19HBWt7B0xSgZoHeRns4SZGoxkMsTni/HpMyKxRbB7JuKLNiu9v6w+q9mJzkAhh1lXnBN1B5vw1nqDm29EDluOofLGR75eXYNQ=&amp;_app_id=central_doc_viewer&amp;center_on_screen=true&amp;width=950&amp;height=800&amp;_dd2=%26f%3Dsld%26c%3Dtrue%26os%3D73613%26oe%3D73614" TargetMode="External"/><Relationship Id="rId252" Type="http://schemas.openxmlformats.org/officeDocument/2006/relationships/hyperlink" Target="fdsup://factset/Doc%20Viewer%20Single?float_window=true&amp;positioning_strategy=center_on_screen&amp;_doc_docfn=U2FsdGVkX193xFXy3Vepo0gzI+pSPXVbXg0gy+gv43cGOTTvhHHofrkuCqom8+auTaKeQ9g0mwXampjMbFXMI/ciQJbEUjJB1p7BHxbaOXo=&amp;_app_id=central_doc_viewer&amp;center_on_screen=true&amp;width=950&amp;height=800&amp;_dd2=%26f%3Dsld%26c%3Dtrue%26os%3D79964%26oe%3D79971" TargetMode="External"/><Relationship Id="rId294" Type="http://schemas.openxmlformats.org/officeDocument/2006/relationships/hyperlink" Target="fdsup://factset/Doc%20Viewer%20Single?float_window=true&amp;positioning_strategy=center_on_screen&amp;_doc_docfn=U2FsdGVkX18IRrHe95mIzrYyW3CKo8JuzneGqRsqCuOoa3BHRVpbXFwd9YHMi7CpZvJofgndprgk9jcX4aXaBBRbGkmZzGhtRo0oke4v3Ew=&amp;_app_id=central_doc_viewer&amp;center_on_screen=true&amp;width=950&amp;height=800&amp;_dd2=%26f%3Dsld%26c%3Dtrue%26os%3D60752%26oe%3D60758" TargetMode="External"/><Relationship Id="rId308" Type="http://schemas.openxmlformats.org/officeDocument/2006/relationships/hyperlink" Target="fdsup://factset/Doc%20Viewer%20Single?float_window=true&amp;positioning_strategy=center_on_screen&amp;_doc_docfn=U2FsdGVkX19Mf35PNYEvWwppi3v89KU2f/Pjk2npm7FM2hAxKchaf0yBN8bCrUU97S6dIwKz6X++VgEtuzqenBAADDPTxfMyqcs+H0neuPM=&amp;_app_id=central_doc_viewer&amp;center_on_screen=true&amp;width=950&amp;height=800&amp;_dd2=%26f%3Dsld%26c%3Dtrue%26os%3D67296%26oe%3D67302" TargetMode="External"/><Relationship Id="rId47" Type="http://schemas.openxmlformats.org/officeDocument/2006/relationships/hyperlink" Target="fdsup://factset/Doc%20Viewer%20Single?float_window=true&amp;positioning_strategy=center_on_screen&amp;_doc_docfn=U2FsdGVkX19CJmfDr+MdF2ji/QI5Jv7rJ7zNRADMOyXknKnOJ2AM8hM+UrLBq9V+Vpqn1/MTHMRDUkDV3IVoHB9X+LjPzR9ITQLwGjeaXtU=&amp;_app_id=central_doc_viewer&amp;center_on_screen=true&amp;width=950&amp;height=800&amp;_dd2=%26f%3Dsld%26c%3Dtrue%26os%3D138188%26oe%3D138195" TargetMode="External"/><Relationship Id="rId89" Type="http://schemas.openxmlformats.org/officeDocument/2006/relationships/hyperlink" Target="fdsup://factset/Doc%20Viewer%20Single?float_window=true&amp;positioning_strategy=center_on_screen&amp;_doc_docfn=U2FsdGVkX1/k4rm1/fKd04SOLzY+QjibY/VgU9iFrsBCctWxNNjEgz3x+Ma3AS8ecqV7De6R5XyeIlVxU3QYoJR4Ss571Y0EAqlHqOLKL0Y=&amp;_app_id=central_doc_viewer&amp;center_on_screen=true&amp;width=950&amp;height=800&amp;_dd2=%26f%3Dsld%26c%3Dtrue%26os%3D142333%26oe%3D142334" TargetMode="External"/><Relationship Id="rId112" Type="http://schemas.openxmlformats.org/officeDocument/2006/relationships/hyperlink" Target="fdsup://factset/Doc%20Viewer%20Single?float_window=true&amp;positioning_strategy=center_on_screen&amp;_doc_docfn=U2FsdGVkX1/nxL8+TEnpR3Urtt5/yRpBYqzOcnRkA/oRGPsL3difs+EHIDreERhFfq+FdMXBzFaThfRPioKABtvxcEwyNdhcEMld/NSnQas=&amp;_app_id=central_doc_viewer&amp;center_on_screen=true&amp;width=950&amp;height=800&amp;_dd2=%26f%3Dsld%26c%3Dtrue%26os%3D150203%26oe%3D150213" TargetMode="External"/><Relationship Id="rId154" Type="http://schemas.openxmlformats.org/officeDocument/2006/relationships/hyperlink" Target="fdsup://factset/Doc%20Viewer%20Single?float_window=true&amp;positioning_strategy=center_on_screen&amp;_doc_docfn=U2FsdGVkX1+KXVtZ65EHDtv141TFQWcb49MeE3tzIgVWkXhwaIbobfIy97SLyLaPDSeRFOkqaU5lmbS/VHDWczCiW79qwWI9NfE7crgjWBE=&amp;_app_id=central_doc_viewer&amp;center_on_screen=true&amp;width=950&amp;height=800&amp;_dd2=%26f%3Dsld%26c%3Dtrue%26os%3D55319%26oe%3D55325" TargetMode="External"/><Relationship Id="rId361" Type="http://schemas.openxmlformats.org/officeDocument/2006/relationships/hyperlink" Target="fdsup://factset/Doc%20Viewer%20Single?float_window=true&amp;positioning_strategy=center_on_screen&amp;_doc_docfn=U2FsdGVkX19hE29ZbmT7sogwutckDJk6g50G7kzmCqQtDz0zAS4t1fknuC5m8o5zlxSIzckfKNFC4UXTqfCdQUFoOnE9SIgdac1L9NFPMvU=&amp;_app_id=central_doc_viewer&amp;center_on_screen=true&amp;width=950&amp;height=800&amp;_dd2=%26f%3Dsld%26c%3Dtrue%26os%3D74811%26oe%3D74817" TargetMode="External"/><Relationship Id="rId196" Type="http://schemas.openxmlformats.org/officeDocument/2006/relationships/hyperlink" Target="fdsup://factset/Doc%20Viewer%20Single?float_window=true&amp;positioning_strategy=center_on_screen&amp;_doc_docfn=U2FsdGVkX1/9HJa3IohKSBqCOUsdQx8hHmdONgcaJcEsePgTGI5mfU7hviZJ6RmMEdAWEB+p2i7ULzjeYgx1GB+5cPmJQZHUXikaoWa+ndU=&amp;_app_id=central_doc_viewer&amp;center_on_screen=true&amp;width=950&amp;height=800&amp;_dd2=%26f%3Dsld%26c%3Dtrue%26os%3D76756%26oe%3D76763" TargetMode="External"/><Relationship Id="rId16" Type="http://schemas.openxmlformats.org/officeDocument/2006/relationships/hyperlink" Target="fdsup://factset/Doc%20Viewer%20Single?float_window=true&amp;positioning_strategy=center_on_screen&amp;_doc_docfn=U2FsdGVkX1/3PBiU0n4awYgeg+xKu5jcY0Fm47JwOmXkW/uIYd/rCbQwEECJaTuDFZ/zQCE/NOnXDbo9iohkhGgMmNecd/jgUdJifTA8qew=&amp;_app_id=central_doc_viewer&amp;center_on_screen=true&amp;width=950&amp;height=800&amp;_dd2=%26f%3Dsld%26c%3Dtrue%26os%3D69685%26oe%3D69692" TargetMode="External"/><Relationship Id="rId221" Type="http://schemas.openxmlformats.org/officeDocument/2006/relationships/hyperlink" Target="fdsup://factset/Doc%20Viewer%20Single?float_window=true&amp;positioning_strategy=center_on_screen&amp;_doc_docfn=U2FsdGVkX19bS2a9dxZ54dN1s8YMsJFFI63vJPfaQmPRCJXEjR9sMM7+Xeupa1lFwDUraK+NPZBrZsMauXzNcQyAXCcGGd1qI/WAl5p8V7k=&amp;_app_id=central_doc_viewer&amp;center_on_screen=true&amp;width=950&amp;height=800&amp;_dd2=%26f%3Dsld%26c%3Dtrue%26os%3D36752%26oe%3D36758" TargetMode="External"/><Relationship Id="rId263" Type="http://schemas.openxmlformats.org/officeDocument/2006/relationships/hyperlink" Target="fdsup://factset/Doc%20Viewer%20Single?float_window=true&amp;positioning_strategy=center_on_screen&amp;_doc_docfn=U2FsdGVkX19/upxhW3gpKSa2SwVHkl3s7RA5R7ZF2NItquSatBpU1u7VpyInYPP2Y5zdkGDUdMfPYbrTIZG1msoxSt++rDeeTJX9Ag0CKJ8=&amp;_app_id=central_doc_viewer&amp;center_on_screen=true&amp;width=950&amp;height=800&amp;_dd2=%26f%3Dsld%26c%3Dtrue%26os%3D81435%26oe%3D81437" TargetMode="External"/><Relationship Id="rId319" Type="http://schemas.openxmlformats.org/officeDocument/2006/relationships/hyperlink" Target="fdsup://factset/Doc%20Viewer%20Single?float_window=true&amp;positioning_strategy=center_on_screen&amp;_doc_docfn=U2FsdGVkX19X6v379KvVXmG+QlUsMxj5K9KOnL0iMKuKdQPkNHYOEPcAdoMLFJrcl4RxdCoCA+dKnKe4iq0gj8TPYtdYLhgjUVNkz7HkSpU=&amp;_app_id=central_doc_viewer&amp;center_on_screen=true&amp;width=950&amp;height=800&amp;_dd2=%26f%3Dsld%26c%3Dtrue%26os%3D77256%26oe%3D77258" TargetMode="External"/><Relationship Id="rId37" Type="http://schemas.openxmlformats.org/officeDocument/2006/relationships/hyperlink" Target="fdsup://factset/Doc%20Viewer%20Single?float_window=true&amp;positioning_strategy=center_on_screen&amp;_doc_docfn=U2FsdGVkX18ilgwbBjj7BAZUVAahEoNKRTXrm19uBDufQElVzHoxnISynuBYR8M4M1T8LxRkFggvDlIBvsxqXOa1m4mi1WojgK12yZU/mxM=&amp;_app_id=central_doc_viewer&amp;center_on_screen=true&amp;width=950&amp;height=800&amp;_dd2=%26f%3Dsld%26c%3Dtrue%26os%3D137199%26oe%3D137204" TargetMode="External"/><Relationship Id="rId58" Type="http://schemas.openxmlformats.org/officeDocument/2006/relationships/hyperlink" Target="fdsup://factset/Doc%20Viewer%20Single?float_window=true&amp;positioning_strategy=center_on_screen&amp;_doc_docfn=U2FsdGVkX18RRd1D5/9z9jwam9gOKKIuLQohP+ls01D4j1yiGUmOtTxNTZfnUH7Pe2iLYPSgu929f+YxXi9sgCsukg9IVoCFqBXjxF8fLMU=&amp;_app_id=central_doc_viewer&amp;center_on_screen=true&amp;width=950&amp;height=800&amp;_dd2=%26f%3Dsld%26c%3Dtrue%26os%3D139268%26oe%3D139275" TargetMode="External"/><Relationship Id="rId79" Type="http://schemas.openxmlformats.org/officeDocument/2006/relationships/hyperlink" Target="fdsup://factset/Doc%20Viewer%20Single?float_window=true&amp;positioning_strategy=center_on_screen&amp;_doc_docfn=U2FsdGVkX19nuNAdRpDDEkZuPQJ4Ak9XiPB2RMTGylw5D8h5jVqeUui9fNCmuzf+2HBNvQk6lAAdLlfKdlff8RhuKPl0efkikZCtF0q0MyI=&amp;_app_id=central_doc_viewer&amp;center_on_screen=true&amp;width=950&amp;height=800&amp;_dd2=%26f%3Dsld%26c%3Dtrue%26os%3D74941%26oe%3D74947" TargetMode="External"/><Relationship Id="rId102" Type="http://schemas.openxmlformats.org/officeDocument/2006/relationships/hyperlink" Target="fdsup://factset/Doc%20Viewer%20Single?float_window=true&amp;positioning_strategy=center_on_screen&amp;_doc_docfn=U2FsdGVkX1/XfU9XRtF8pNBwaV63b2BMuuG2sfIWu7s8me1zbu7yze4SGm/2d5283ruqd36QsfUQ6a6esFSe7da79FHFoy8JoMq1o+iCytY=&amp;_app_id=central_doc_viewer&amp;center_on_screen=true&amp;width=950&amp;height=800&amp;_dd2=%26f%3Dsld%26c%3Dtrue%26os%3D124629%26oe%3D124635" TargetMode="External"/><Relationship Id="rId123" Type="http://schemas.openxmlformats.org/officeDocument/2006/relationships/hyperlink" Target="fdsup://factset/Doc%20Viewer%20Single?float_window=true&amp;positioning_strategy=center_on_screen&amp;_doc_docfn=U2FsdGVkX1/LiOUiXcFj0q8so3k75wkfIdESMfgh5caWXjGgOGJgloKr0ch2N48GIX6qD5vnUUFtfjsWQT3CZi+MS4lmOx7vzN4dOqpkzAI=&amp;_app_id=central_doc_viewer&amp;center_on_screen=true&amp;width=950&amp;height=800&amp;_dd2=%26f%3Dsld%26c%3Dtrue%26os%3D59086%26oe%3D59093" TargetMode="External"/><Relationship Id="rId144" Type="http://schemas.openxmlformats.org/officeDocument/2006/relationships/hyperlink" Target="fdsup://factset/Doc%20Viewer%20Single?float_window=true&amp;positioning_strategy=center_on_screen&amp;_doc_docfn=U2FsdGVkX1+mZWuVHd63OcI3QMSVVeaz0FLsrCZ1WZy9JZWll6qpZoetBn2iTssrnWkBNQG1PefFU3JrveoFCEVjmCSjakFynlCKynzl9F0=&amp;_app_id=central_doc_viewer&amp;center_on_screen=true&amp;width=950&amp;height=800&amp;_dd2=%26f%3Dsld%26c%3Dtrue%26os%3D54352%26oe%3D54357" TargetMode="External"/><Relationship Id="rId330" Type="http://schemas.openxmlformats.org/officeDocument/2006/relationships/hyperlink" Target="fdsup://factset/Doc%20Viewer%20Single?float_window=true&amp;positioning_strategy=center_on_screen&amp;_doc_docfn=U2FsdGVkX18U8E5qSGYGru51ikyMhuieFc4IMN7PM+aQNjFASTs8tfts0Dvbq76YgQ2MQft32Xmvvnb34im6XfR/8Fr0Jw7gqLr2QaI2+i0=&amp;_app_id=central_doc_viewer&amp;center_on_screen=true&amp;width=950&amp;height=800&amp;_dd2=%26f%3Dsld%26c%3Dtrue%26os%3D60200%26oe%3D60207" TargetMode="External"/><Relationship Id="rId90" Type="http://schemas.openxmlformats.org/officeDocument/2006/relationships/hyperlink" Target="fdsup://factset/Doc%20Viewer%20Single?float_window=true&amp;positioning_strategy=center_on_screen&amp;_doc_docfn=U2FsdGVkX19Q0SlTUvJwb+Ld+2t84vCVL6cwiKE7AmKOj4vJTboxF/pbBCdttKZelioOl0NnPyh3wMzmILvAeObunlFQdXskE1EfzxUatG8=&amp;_app_id=central_doc_viewer&amp;center_on_screen=true&amp;width=950&amp;height=800&amp;_dd2=%26f%3Dsld%26c%3Dtrue%26os%3D142540%26oe%3D142544" TargetMode="External"/><Relationship Id="rId165" Type="http://schemas.openxmlformats.org/officeDocument/2006/relationships/hyperlink" Target="fdsup://factset/Doc%20Viewer%20Single?float_window=true&amp;positioning_strategy=center_on_screen&amp;_doc_docfn=U2FsdGVkX1+2DxY8FpGKA5Cgp5QQIsWyv/E0H9z1mLKRkjKi5sB4fBKq+/2nNX59NJvF93LfUnaDqK9582kxqxHXzHJd4S+rKKtKVwSP9Vo=&amp;_app_id=central_doc_viewer&amp;center_on_screen=true&amp;width=950&amp;height=800&amp;_dd2=%26f%3Dsld%26c%3Dtrue%26os%3D57235%26oe%3D57241" TargetMode="External"/><Relationship Id="rId186" Type="http://schemas.openxmlformats.org/officeDocument/2006/relationships/hyperlink" Target="fdsup://factset/Doc%20Viewer%20Single?float_window=true&amp;positioning_strategy=center_on_screen&amp;_doc_docfn=U2FsdGVkX1+3rhiNEOZ2IjJMDgCe2wDfKIOAiFahkX9OwGXu3jFG+ePV06PqElyOws+EgmUc/CBxOg/nr57BkY+JbHmBWm1Bnb5VajzjbwE=&amp;_app_id=central_doc_viewer&amp;center_on_screen=true&amp;width=950&amp;height=800&amp;_dd2=%26f%3Dsld%26c%3Dtrue%26os%3D69840%26oe%3D69845" TargetMode="External"/><Relationship Id="rId351" Type="http://schemas.openxmlformats.org/officeDocument/2006/relationships/hyperlink" Target="fdsup://factset/Doc%20Viewer%20Single?float_window=true&amp;positioning_strategy=center_on_screen&amp;_doc_docfn=U2FsdGVkX18VnhIB6SbkYctQu5yHSl54437azJcaOG58M2fjszx/NxgfdIpAlErHBQ8NqZTD2LTsVwA/qPyNLrekH9nCR5fvnYyHiaVpHks=&amp;_app_id=central_doc_viewer&amp;center_on_screen=true&amp;width=950&amp;height=800&amp;_dd2=%26f%3Dsld%26c%3Dtrue%26os%3D70640%26oe%3D70646" TargetMode="External"/><Relationship Id="rId372" Type="http://schemas.openxmlformats.org/officeDocument/2006/relationships/hyperlink" Target="fdsup://factset/Doc%20Viewer%20Single?float_window=true&amp;positioning_strategy=center_on_screen&amp;_doc_docfn=U2FsdGVkX19Ohl1Rd0I+JKQgZ2UlR98sCsemg2o5MvPllzJMXUTvSWVUtIUH8heSixRSh64LuazEwxDAIzbnqaRm2/9DNQBZNyo+HRkKZmM=&amp;_app_id=central_doc_viewer&amp;center_on_screen=true&amp;width=950&amp;height=800&amp;_dd2=%26f%3Dsld%26c%3Dtrue%26os%3D63004%26oe%3D63010" TargetMode="External"/><Relationship Id="rId393" Type="http://schemas.openxmlformats.org/officeDocument/2006/relationships/hyperlink" Target="fdsup://factset/Doc%20Viewer%20Single?float_window=true&amp;positioning_strategy=center_on_screen&amp;_doc_docfn=U2FsdGVkX18fw5Xl6s8IB0LMYO7wg973bHsB+fgykPRi2GDo1E9IWfYW0FWOcmQENtg24J36yLeaUcjTa5Utv9uIG3fhnVZUIVWvD/3aLtA=&amp;_app_id=central_doc_viewer&amp;center_on_screen=true&amp;width=950&amp;height=800&amp;_dd2=%26f%3Dsld%26c%3Dtrue%26os%3D77093%26oe%3D77095" TargetMode="External"/><Relationship Id="rId211" Type="http://schemas.openxmlformats.org/officeDocument/2006/relationships/hyperlink" Target="fdsup://factset/Doc%20Viewer%20Single?float_window=true&amp;positioning_strategy=center_on_screen&amp;_doc_docfn=U2FsdGVkX1//LQdYr/pbg4K/2EGHqpSwTungPsPLIJbmrNxLRTTHsOdXzBB/ogfT4zNkGvfRBYCYjoEFo1emaGZj7wkcC194VNRTmyEOGFU=&amp;_app_id=central_doc_viewer&amp;center_on_screen=true&amp;width=950&amp;height=800&amp;_dd2=%26f%3Dsld%26c%3Dtrue%26os%3D71564%26oe%3D71570" TargetMode="External"/><Relationship Id="rId232" Type="http://schemas.openxmlformats.org/officeDocument/2006/relationships/hyperlink" Target="fdsup://factset/Doc%20Viewer%20Single?float_window=true&amp;positioning_strategy=center_on_screen&amp;_doc_docfn=U2FsdGVkX19p7Lgn3tyyiNtu3i++8bz7XwZ8z5X3mR0xPJLGmWJgj/hb7aerVEBSpA6ciPqGY1p7P2QNQ7094wHNspAUn5pjFJw/WelIpbw=&amp;_app_id=central_doc_viewer&amp;center_on_screen=true&amp;width=950&amp;height=800&amp;_dd2=%26f%3Dsld%26c%3Dtrue%26os%3D68633%26oe%3D68644" TargetMode="External"/><Relationship Id="rId253" Type="http://schemas.openxmlformats.org/officeDocument/2006/relationships/hyperlink" Target="fdsup://factset/Doc%20Viewer%20Single?float_window=true&amp;positioning_strategy=center_on_screen&amp;_doc_docfn=U2FsdGVkX1/jy0lESo/hNBwLmhxLY8bR3ZJDDVPsiFH/X/wokH3L6q42RYI/ejFPhsZXjzsJ9wli1Iq8gRZOwWKzz/Rkox5y4+NBo368uNk=&amp;_app_id=central_doc_viewer&amp;center_on_screen=true&amp;width=950&amp;height=800&amp;_dd2=%26f%3Dsld%26c%3Dtrue%26os%3D67739%26oe%3D67746" TargetMode="External"/><Relationship Id="rId274" Type="http://schemas.openxmlformats.org/officeDocument/2006/relationships/hyperlink" Target="fdsup://factset/Doc%20Viewer%20Single?float_window=true&amp;positioning_strategy=center_on_screen&amp;_doc_docfn=U2FsdGVkX196oFGypK3GxrSjodsnmSBI/u+XtrniZl9pcyA/JtZBxzDELgWDbis6u/6APs2mQvs9UZHRZ//tO8QHUc5PDG1sN6JI7a6xMoA=&amp;_app_id=central_doc_viewer&amp;center_on_screen=true&amp;width=950&amp;height=800&amp;_dd2=%26f%3Dsld%26c%3Dtrue%26os%3D66229%26oe%3D66236" TargetMode="External"/><Relationship Id="rId295" Type="http://schemas.openxmlformats.org/officeDocument/2006/relationships/hyperlink" Target="fdsup://factset/Doc%20Viewer%20Single?float_window=true&amp;positioning_strategy=center_on_screen&amp;_doc_docfn=U2FsdGVkX19d5/O3iGfcCzAPy4RoSyT6XZFjBvCEIPL5v4Deqjxy+aE4VHmX0lptxsDjeLHTjdecP2azwpDorT25teSTXehgD4Z9IqQZnXs=&amp;_app_id=central_doc_viewer&amp;center_on_screen=true&amp;width=950&amp;height=800&amp;_dd2=%26f%3Dsld%26c%3Dtrue%26os%3D61198%26oe%3D61204" TargetMode="External"/><Relationship Id="rId309" Type="http://schemas.openxmlformats.org/officeDocument/2006/relationships/hyperlink" Target="fdsup://factset/Doc%20Viewer%20Single?float_window=true&amp;positioning_strategy=center_on_screen&amp;_doc_docfn=U2FsdGVkX187lR8wlvFoRNVQtmWiNnqo96VGaZkFJPmnvjEhiBA72gtSTZZYYNSHtWz5cvOwKn//gZjj1IuPJcRUMMx5dfR/kxWL5OuoLyM=&amp;_app_id=central_doc_viewer&amp;center_on_screen=true&amp;width=950&amp;height=800&amp;_dd2=%26f%3Dsld%26c%3Dtrue%26os%3D67810%26oe%3D67815" TargetMode="External"/><Relationship Id="rId27" Type="http://schemas.openxmlformats.org/officeDocument/2006/relationships/hyperlink" Target="fdsup://factset/Doc%20Viewer%20Single?float_window=true&amp;positioning_strategy=center_on_screen&amp;_doc_docfn=U2FsdGVkX19ibQpZzOB1qSWL+CWAKUkwa3eT1Ocip7ukoO8jgVpAfSnUjwVPWNN/+UC2lDrv55Qz2WJsDt6IFn+Mmo2nHT62C6nGmN1JOO8=&amp;_app_id=central_doc_viewer&amp;center_on_screen=true&amp;width=950&amp;height=800&amp;_dd2=%26f%3Dsld%26c%3Dtrue%26os%3D136423%26oe%3D136432" TargetMode="External"/><Relationship Id="rId48" Type="http://schemas.openxmlformats.org/officeDocument/2006/relationships/hyperlink" Target="fdsup://factset/Doc%20Viewer%20Single?float_window=true&amp;positioning_strategy=center_on_screen&amp;_doc_docfn=U2FsdGVkX1+xcj1X08wexgoGaun5FIQMgewirzg2hm1Ma+8gD+9sTiydiKwwi6QUgIbwfnNFfitE1SoDbMu6MBQRMsi9hLRdlOsRGxzEb6s=&amp;_app_id=central_doc_viewer&amp;center_on_screen=true&amp;width=950&amp;height=800&amp;_dd2=%26f%3Dsld%26c%3Dtrue%26os%3D138386%26oe%3D138392" TargetMode="External"/><Relationship Id="rId69" Type="http://schemas.openxmlformats.org/officeDocument/2006/relationships/hyperlink" Target="fdsup://factset/Doc%20Viewer%20Single?float_window=true&amp;positioning_strategy=center_on_screen&amp;_doc_docfn=U2FsdGVkX18Y/6H85z3Gzw2ku/TGMw/DPH4J3X5i0pNvWAWL/TbAhpTBafb4Q5TN5faORM8NfomAp9+NNKhZBNs89yHCQ4T0iddjFWvO6AM=&amp;_app_id=central_doc_viewer&amp;center_on_screen=true&amp;width=950&amp;height=800&amp;_dd2=%26f%3Dsld%26c%3Dtrue%26os%3D124701%26oe%3D124704" TargetMode="External"/><Relationship Id="rId113" Type="http://schemas.openxmlformats.org/officeDocument/2006/relationships/hyperlink" Target="fdsup://factset/Doc%20Viewer%20Single?float_window=true&amp;positioning_strategy=center_on_screen&amp;_doc_docfn=U2FsdGVkX1/zS5VeIP264lCiF5ZnAouVR7E/ZWOyuJ3nT+bxdy/TBBAolujU2lJXjQ5UWSYKaNM1IHVfpb4R/E5pcReHd3RAHw83QxyidtE=&amp;_app_id=central_doc_viewer&amp;center_on_screen=true&amp;width=950&amp;height=800&amp;_dd2=%26f%3Dsld%26c%3Dtrue%26os%3D150435%26oe%3D150445" TargetMode="External"/><Relationship Id="rId134" Type="http://schemas.openxmlformats.org/officeDocument/2006/relationships/hyperlink" Target="fdsup://factset/Doc%20Viewer%20Single?float_window=true&amp;positioning_strategy=center_on_screen&amp;_doc_docfn=U2FsdGVkX1/efCHp0Rf9QxsTcBAMnaHOehsXvEzC/5hqtq/ORNSW7sXGh24GblYpXz/Awt6xSjUIdgg0OH4rJuY+S7F4nNDmPcdBplRVIqw=&amp;_app_id=central_doc_viewer&amp;center_on_screen=true&amp;width=950&amp;height=800&amp;_dd2=%26f%3Dsld%26c%3Dtrue%26os%3D28883%26oe%3D28889" TargetMode="External"/><Relationship Id="rId320" Type="http://schemas.openxmlformats.org/officeDocument/2006/relationships/hyperlink" Target="fdsup://factset/Doc%20Viewer%20Single?float_window=true&amp;positioning_strategy=center_on_screen&amp;_doc_docfn=U2FsdGVkX1/+KpYK/blMo7WXAhnFnEjPtIy60ovx/QAcnavi1j6rV+6NkxZf0E0CJ2/NIl0W1rzg+ZjPoJsFtl6DLaekQMEWl/vH0nyJAjk=&amp;_app_id=central_doc_viewer&amp;center_on_screen=true&amp;width=950&amp;height=800&amp;_dd2=%26f%3Dsld%26c%3Dtrue%26os%3D78653%26oe%3D78655" TargetMode="External"/><Relationship Id="rId80" Type="http://schemas.openxmlformats.org/officeDocument/2006/relationships/hyperlink" Target="fdsup://factset/Doc%20Viewer%20Single?float_window=true&amp;positioning_strategy=center_on_screen&amp;_doc_docfn=U2FsdGVkX19aNTYjjA+/0Oac/WAKRgyvTVu4AQZOQ7eWn1fve84119GXEmI/BBW5aW2csxbZaEGO7aE2E/SKX03ihc6L/PK/w/WwdjiQ0xM=&amp;_app_id=central_doc_viewer&amp;center_on_screen=true&amp;width=950&amp;height=800&amp;_dd2=%26f%3Dsld%26c%3Dtrue%26os%3D141395%26oe%3D141401" TargetMode="External"/><Relationship Id="rId155" Type="http://schemas.openxmlformats.org/officeDocument/2006/relationships/hyperlink" Target="fdsup://factset/Doc%20Viewer%20Single?float_window=true&amp;positioning_strategy=center_on_screen&amp;_doc_docfn=U2FsdGVkX1+9Wb+AqGDbWLXMaHiHPcCBQKBHJvi2ar+odw0X9GiRTAXOmj9TpaHyQFBAZemaT+OQa0SYHz5dXB6sEmC5P+SmF1mpryXvkKc=&amp;_app_id=central_doc_viewer&amp;center_on_screen=true&amp;width=950&amp;height=800&amp;_dd2=%26f%3Dsld%26c%3Dtrue%26os%3D31090%26oe%3D31095" TargetMode="External"/><Relationship Id="rId176" Type="http://schemas.openxmlformats.org/officeDocument/2006/relationships/hyperlink" Target="fdsup://factset/Doc%20Viewer%20Single?float_window=true&amp;positioning_strategy=center_on_screen&amp;_doc_docfn=U2FsdGVkX1+svbiIiZbfXJyI54R2vdVK6bMju1r2QTOCPPDkyPxKvzAb/0f9Rv70LKuQFxg/oM2rBpVtYt3sy9yYBRohqRxtXvxeVHTDVTI=&amp;_app_id=central_doc_viewer&amp;center_on_screen=true&amp;width=950&amp;height=800&amp;_dd2=%26f%3Dsld%26c%3Dtrue%26os%3D68899%26oe%3D68902" TargetMode="External"/><Relationship Id="rId197" Type="http://schemas.openxmlformats.org/officeDocument/2006/relationships/hyperlink" Target="fdsup://factset/Doc%20Viewer%20Single?float_window=true&amp;positioning_strategy=center_on_screen&amp;_doc_docfn=U2FsdGVkX1/XpFNejZard+Qn6p00PQs+WPKWn4408SdKTDPmYuWO4l0AqV/HCnCYUxtHknIIviRbQ4y6oirgyEeACNG0SIrZ0/8ZhcRHpIk=&amp;_app_id=central_doc_viewer&amp;center_on_screen=true&amp;width=950&amp;height=800&amp;_dd2=%26f%3Dsld%26c%3Dtrue%26os%3D64533%26oe%3D64540" TargetMode="External"/><Relationship Id="rId341" Type="http://schemas.openxmlformats.org/officeDocument/2006/relationships/hyperlink" Target="fdsup://factset/Doc%20Viewer%20Single?float_window=true&amp;positioning_strategy=center_on_screen&amp;_doc_docfn=U2FsdGVkX19ksS1aKdCSQPSjz4Swr0kf8vsu7BTkigXqpaSyTQ4iGIMomjLRfRCTrgjUx+aJGOVx9geGkclcCUr1OBnkOybrpm4tCKdoN3w=&amp;_app_id=central_doc_viewer&amp;center_on_screen=true&amp;width=950&amp;height=800&amp;_dd2=%26f%3Dsld%26c%3Dtrue%26os%3D76314%26oe%3D76323" TargetMode="External"/><Relationship Id="rId362" Type="http://schemas.openxmlformats.org/officeDocument/2006/relationships/hyperlink" Target="fdsup://factset/Doc%20Viewer%20Single?float_window=true&amp;positioning_strategy=center_on_screen&amp;_doc_docfn=U2FsdGVkX1/vWdaWCa2b9H6V7h5YJAfr/Msvg6bBo9acDP974/53ydRbiLzCHvgU40ZCgdusBMMs0VvcDl5DN0kBBUmZBa4XbdQjNO6TIEI=&amp;_app_id=central_doc_viewer&amp;center_on_screen=true&amp;width=950&amp;height=800&amp;_dd2=%26f%3Dsld%26c%3Dtrue%26os%3D75310%26oe%3D75317" TargetMode="External"/><Relationship Id="rId383" Type="http://schemas.openxmlformats.org/officeDocument/2006/relationships/hyperlink" Target="fdsup://factset/Doc%20Viewer%20Single?float_window=true&amp;positioning_strategy=center_on_screen&amp;_doc_docfn=U2FsdGVkX1/TN1WzXaDRhSrhSbyYouW7dvN9jz2o3Jj5Nkri6db/ZYLIEUDaixDgtRDLDmKttP8xlmD3Ex5U4tHUey6kPIkC6w1tmT5s0WE=&amp;_app_id=central_doc_viewer&amp;center_on_screen=true&amp;width=950&amp;height=800&amp;_dd2=%26f%3Dsld%26c%3Dtrue%26os%3D67630%26oe%3D67635" TargetMode="External"/><Relationship Id="rId201" Type="http://schemas.openxmlformats.org/officeDocument/2006/relationships/hyperlink" Target="fdsup://factset/Doc%20Viewer%20Single?float_window=true&amp;positioning_strategy=center_on_screen&amp;_doc_docfn=U2FsdGVkX19uhaM9EehKGJb6BFViQJfFA8l5W1AH9qcvd0e+Met9+FZgQqRpkLZrxcXEzfVWX4RnLZI2wvvts811DeOq7dIxt8xoRA3NGVA=&amp;_app_id=central_doc_viewer&amp;center_on_screen=true&amp;width=950&amp;height=800&amp;_dd2=%26f%3Dsld%26c%3Dtrue%26os%3D73565%26oe%3D73572" TargetMode="External"/><Relationship Id="rId222" Type="http://schemas.openxmlformats.org/officeDocument/2006/relationships/hyperlink" Target="fdsup://factset/Doc%20Viewer%20Single?float_window=true&amp;positioning_strategy=center_on_screen&amp;_doc_docfn=U2FsdGVkX1/d2HJ+RNddzpfkHgcwTdR/RdSTf9JjpM4odxhyIseHgu6nnciVpjjXjKzA3aUS/f7zXdcNAT7jfGvs297ysJ4oV9V1qcSO71g=&amp;_app_id=central_doc_viewer&amp;center_on_screen=true&amp;width=950&amp;height=800&amp;_dd2=%26f%3Dsld%26c%3Dtrue%26os%3D67359%26oe%3D67369" TargetMode="External"/><Relationship Id="rId243" Type="http://schemas.openxmlformats.org/officeDocument/2006/relationships/hyperlink" Target="fdsup://factset/Doc%20Viewer%20Single?float_window=true&amp;positioning_strategy=center_on_screen&amp;_doc_docfn=U2FsdGVkX1/HaDNjUKqFdCqh8zRNMrxVbxKQThth5nQPXKRbW73THQm4wIcRZn3nPTcZCOm1iDF22x0T/Ua7iqwrKS07Kx4o6NoeVmZQ/K8=&amp;_app_id=central_doc_viewer&amp;center_on_screen=true&amp;width=950&amp;height=800&amp;_dd2=%26f%3Dsld%26c%3Dtrue%26os%3D63113%26oe%3D63118" TargetMode="External"/><Relationship Id="rId264" Type="http://schemas.openxmlformats.org/officeDocument/2006/relationships/hyperlink" Target="fdsup://factset/Doc%20Viewer%20Single?float_window=true&amp;positioning_strategy=center_on_screen&amp;_doc_docfn=U2FsdGVkX18oTq+2tWRh3sClFxRpEV6iC7+m9J4y+yZiZMOxXz+/+F6a44kWH3/PuBX9vxNLdKFc7bgSNgSbBs49qH5iQpufp+l+LNePBoQ=&amp;_app_id=central_doc_viewer&amp;center_on_screen=true&amp;width=950&amp;height=800&amp;_dd2=%26f%3Dsld%26c%3Dtrue%26os%3D69210%26oe%3D69212" TargetMode="External"/><Relationship Id="rId285" Type="http://schemas.openxmlformats.org/officeDocument/2006/relationships/hyperlink" Target="fdsup://factset/Doc%20Viewer%20Single?float_window=true&amp;positioning_strategy=center_on_screen&amp;_doc_docfn=U2FsdGVkX1+pmyx7lgGjBJGDXWw3YcC6CuauGG4SM8+vKQGLV13YC3Ar1kdDJXYK+UjploqE2RrsSfP0OOinn6/eYVTsFV7NCWfpNHB504g=&amp;_app_id=central_doc_viewer&amp;center_on_screen=true&amp;width=950&amp;height=800&amp;_dd2=%26f%3Dsld%26c%3Dtrue%26os%3D69371%26oe%3D69378" TargetMode="External"/><Relationship Id="rId17" Type="http://schemas.openxmlformats.org/officeDocument/2006/relationships/hyperlink" Target="fdsup://factset/Doc%20Viewer%20Single?float_window=true&amp;positioning_strategy=center_on_screen&amp;_doc_docfn=U2FsdGVkX1/sN6Blgh8lUpPRUGQwtQ8cMv9+rxGn/l7IZCeYcAOroSXjLUGEQ0NKYPW639K5aNpNOxOCIbrzCHuldVQptAhPBOahtj85B44=&amp;_app_id=central_doc_viewer&amp;center_on_screen=true&amp;width=950&amp;height=800&amp;_dd2=%26f%3Dsld%26c%3Dtrue%26os%3D135284%26oe%3D135291" TargetMode="External"/><Relationship Id="rId38" Type="http://schemas.openxmlformats.org/officeDocument/2006/relationships/hyperlink" Target="fdsup://factset/Doc%20Viewer%20Single?float_window=true&amp;positioning_strategy=center_on_screen&amp;_doc_docfn=U2FsdGVkX185/6z80kEHW61zA7+CHFNkyulVt6Ls2h5Aab2gWUNlZ3HzzmWgzNoKMEk761h8OtSRVw2GD2ltHvGwJobZwVYynj9J8XMstG8=&amp;_app_id=central_doc_viewer&amp;center_on_screen=true&amp;width=950&amp;height=800&amp;_dd2=%26f%3Dsld%26c%3Dtrue%26os%3D137173%26oe%3D137178" TargetMode="External"/><Relationship Id="rId59" Type="http://schemas.openxmlformats.org/officeDocument/2006/relationships/hyperlink" Target="fdsup://factset/Doc%20Viewer%20Single?float_window=true&amp;positioning_strategy=center_on_screen&amp;_doc_docfn=U2FsdGVkX1/BDPMOLJ6jOjlQh+yvyAp+9R4yJxebGyMqGX5ednrL9QQv8KwEz92+G0ETScbziBVvxNOGuzFr0hI0Ptf7LoLHtZcXugWz5d0=&amp;_app_id=central_doc_viewer&amp;center_on_screen=true&amp;width=950&amp;height=800&amp;_dd2=%26f%3Dsld%26c%3Dtrue%26os%3D155354%26oe%3D155361" TargetMode="External"/><Relationship Id="rId103" Type="http://schemas.openxmlformats.org/officeDocument/2006/relationships/hyperlink" Target="fdsup://factset/Doc%20Viewer%20Single?float_window=true&amp;positioning_strategy=center_on_screen&amp;_doc_docfn=U2FsdGVkX1+iPZ4KoG9eB+5U00SrpnDIE2+U2M0wRTiYtFhN6GAj6XqftzRVibSzV1qN6qFFsVBUD01Q91M3HFl33SV5jO0f4kGDPOrVXjs=&amp;_app_id=central_doc_viewer&amp;center_on_screen=true&amp;width=950&amp;height=800&amp;_dd2=%26f%3Dsld%26c%3Dtrue%26os%3D76613%26oe%3D76619" TargetMode="External"/><Relationship Id="rId124" Type="http://schemas.openxmlformats.org/officeDocument/2006/relationships/hyperlink" Target="fdsup://factset/Doc%20Viewer%20Single?float_window=true&amp;positioning_strategy=center_on_screen&amp;_doc_docfn=U2FsdGVkX1+S4Pk2yUfFeTGIfFwCBg0pxHUtoss7jstE/AXG9Zu5kJdrNC87FJkOBcu3UnT26dccXXP/oRIqbT6VlBkuDXNDr+ath8R2D1w=&amp;_app_id=central_doc_viewer&amp;center_on_screen=true&amp;width=950&amp;height=800&amp;_dd2=%26f%3Dsld%26c%3Dtrue%26os%3D34937%26oe%3D34944" TargetMode="External"/><Relationship Id="rId310" Type="http://schemas.openxmlformats.org/officeDocument/2006/relationships/hyperlink" Target="fdsup://factset/Doc%20Viewer%20Single?float_window=true&amp;positioning_strategy=center_on_screen&amp;_doc_docfn=U2FsdGVkX19Wlfno6BbeleEtMownxkEbCyjsZdiD9ZgvzTt66HdGfMnwgBPwLreGCr00jeXNYx4he54cml4C0ztPdQ2bV249Ap01MWKL58w=&amp;_app_id=central_doc_viewer&amp;center_on_screen=true&amp;width=950&amp;height=800&amp;_dd2=%26f%3Dsld%26c%3Dtrue%26os%3D68294%26oe%3D68300" TargetMode="External"/><Relationship Id="rId70" Type="http://schemas.openxmlformats.org/officeDocument/2006/relationships/hyperlink" Target="fdsup://factset/Doc%20Viewer%20Single?float_window=true&amp;positioning_strategy=center_on_screen&amp;_doc_docfn=U2FsdGVkX19NVDvzsrvTuyPUd16P1cXUMdRuE7wp9+QdLNuvbzYNK5dZGtPnQyvOwfb8+e/ehd64+ylKIBrjYO/JiCXVsivIHu5Ydf2qcZs=&amp;_app_id=central_doc_viewer&amp;center_on_screen=true&amp;width=950&amp;height=800&amp;_dd2=%26f%3Dsld%26c%3Dtrue%26os%3D122331%26oe%3D122336" TargetMode="External"/><Relationship Id="rId91" Type="http://schemas.openxmlformats.org/officeDocument/2006/relationships/hyperlink" Target="fdsup://factset/Doc%20Viewer%20Single?float_window=true&amp;positioning_strategy=center_on_screen&amp;_doc_docfn=U2FsdGVkX18NFbEicnMnh38c+hf2+67BYUaT2WM5K0rEGadVYrJFIa2MzYpvretZjXJ1RPsIjWdqQaLwcpqykfbcmOR78wyKKY4FMRuptuQ=&amp;_app_id=central_doc_viewer&amp;center_on_screen=true&amp;width=950&amp;height=800&amp;_dd2=%26f%3Dsld%26c%3Dtrue%26os%3D142470%26oe%3D142472" TargetMode="External"/><Relationship Id="rId145" Type="http://schemas.openxmlformats.org/officeDocument/2006/relationships/hyperlink" Target="fdsup://factset/Doc%20Viewer%20Single?float_window=true&amp;positioning_strategy=center_on_screen&amp;_doc_docfn=U2FsdGVkX1+3j23T69lZZttVLjtk2u1dWk5lp5SYS0ZlhDkC/5PovzLehnEdixmVVUgAsr/rNQthmvBdSslTlrevRCEsRucbcqWcSpB+2p8=&amp;_app_id=central_doc_viewer&amp;center_on_screen=true&amp;width=950&amp;height=800&amp;_dd2=%26f%3Dsld%26c%3Dtrue%26os%3D30102%26oe%3D30107" TargetMode="External"/><Relationship Id="rId166" Type="http://schemas.openxmlformats.org/officeDocument/2006/relationships/hyperlink" Target="fdsup://factset/Doc%20Viewer%20Single?float_window=true&amp;positioning_strategy=center_on_screen&amp;_doc_docfn=U2FsdGVkX1+d/HZ3p4NZGJcqy+KTgUyir6/MnW3xZyngWsephMMOBJcaZYia7qNUUG/Dyxl3xMffIm/gwgW0KfAjKLeuusVi76mmXS807Mk=&amp;_app_id=central_doc_viewer&amp;center_on_screen=true&amp;width=950&amp;height=800&amp;_dd2=%26f%3Dsld%26c%3Dtrue%26os%3D67921%26oe%3D67927" TargetMode="External"/><Relationship Id="rId187" Type="http://schemas.openxmlformats.org/officeDocument/2006/relationships/hyperlink" Target="fdsup://factset/Doc%20Viewer%20Single?float_window=true&amp;positioning_strategy=center_on_screen&amp;_doc_docfn=U2FsdGVkX18Y+rdbEaX/jM8X4L6y+fqa9+BRxAejiiJ+F4kThliYbtCJAIUl9COee5jdxwoB9sb9uo7B9p/TQGyBW9UPWgIKrWwydNbB1og=&amp;_app_id=central_doc_viewer&amp;center_on_screen=true&amp;width=950&amp;height=800&amp;_dd2=%26f%3Dsld%26c%3Dtrue%26os%3D58648%26oe%3D58653" TargetMode="External"/><Relationship Id="rId331" Type="http://schemas.openxmlformats.org/officeDocument/2006/relationships/hyperlink" Target="fdsup://factset/Doc%20Viewer%20Single?float_window=true&amp;positioning_strategy=center_on_screen&amp;_doc_docfn=U2FsdGVkX1/IvgYlxp8plffjIl0Q0ii1G9P8YIQ/G0RCCmCM9vZwF6jNr2bxyD2zbrXoel3pqkQOZxnkOAU5Fdh1JiKOVPCv+XtjFMx9/n0=&amp;_app_id=central_doc_viewer&amp;center_on_screen=true&amp;width=950&amp;height=800&amp;_dd2=%26f%3Dsld%26c%3Dtrue%26os%3D60757%26oe%3D60763" TargetMode="External"/><Relationship Id="rId352" Type="http://schemas.openxmlformats.org/officeDocument/2006/relationships/hyperlink" Target="fdsup://factset/Doc%20Viewer%20Single?float_window=true&amp;positioning_strategy=center_on_screen&amp;_doc_docfn=U2FsdGVkX199WpH6sNMQodn90lbnkdXl4XJ0E5u5lX/sYQmS2xG+bA52JsgPekZ294FUPBKX4u8C4h5iV1RpqCSZPXX8jmNECVd0uf1xKGs=&amp;_app_id=central_doc_viewer&amp;center_on_screen=true&amp;width=950&amp;height=800&amp;_dd2=%26f%3Dsld%26c%3Dtrue%26os%3D71139%26oe%3D71145" TargetMode="External"/><Relationship Id="rId373" Type="http://schemas.openxmlformats.org/officeDocument/2006/relationships/hyperlink" Target="fdsup://factset/Doc%20Viewer%20Single?float_window=true&amp;positioning_strategy=center_on_screen&amp;_doc_docfn=U2FsdGVkX1+aqBJnBPMY53yytO3ytHy645CgfyaiYjdXh68VqzXRhJNxn7Hb6wsWlmwizrb5PEbMmQW12XuCHZWBaOhowT3LgUU1XyxnChI=&amp;_app_id=central_doc_viewer&amp;center_on_screen=true&amp;width=950&amp;height=800&amp;_dd2=%26f%3Dsld%26c%3Dtrue%26os%3D63461%26oe%3D63468" TargetMode="External"/><Relationship Id="rId394" Type="http://schemas.openxmlformats.org/officeDocument/2006/relationships/hyperlink" Target="fdsup://factset/Doc%20Viewer%20Single?float_window=true&amp;positioning_strategy=center_on_screen&amp;_doc_docfn=U2FsdGVkX19FWTkTbkKyRunyeyYEWFM7LUiDsasInciWFNRQny348l/W6/JCuAJBz5YrilV7+CQ7Bv39tQ4Tn64FbK8tfUnE/l/NyOGlVjg=&amp;_app_id=central_doc_viewer&amp;center_on_screen=true&amp;width=950&amp;height=800&amp;_dd2=%26f%3Dsld%26c%3Dtrue%26os%3D78497%26oe%3D78499" TargetMode="External"/><Relationship Id="rId1" Type="http://schemas.openxmlformats.org/officeDocument/2006/relationships/hyperlink" Target="fdsup://factset/Doc%20Viewer%20Single?float_window=true&amp;positioning_strategy=center_on_screen&amp;_doc_docfn=U2FsdGVkX18CepSRSisDIcgQ5Q5F5e8mG54ewES0lBqpUQzHegvk2CIYcbngzeCOpSiyuRawW0rOYeQS3rCexzCXgFSxtaSR397WanHBnUo=&amp;_app_id=central_doc_viewer&amp;center_on_screen=true&amp;width=950&amp;height=800&amp;_dd2=%26f%3Dsld%26c%3Dtrue%26os%3D133793%26oe%3D133804" TargetMode="External"/><Relationship Id="rId212" Type="http://schemas.openxmlformats.org/officeDocument/2006/relationships/hyperlink" Target="fdsup://factset/Doc%20Viewer%20Single?float_window=true&amp;positioning_strategy=center_on_screen&amp;_doc_docfn=U2FsdGVkX1/SuQg2Air/KKWlny1Z185mF4MQPC3I4nA/Vh8H4WoZZCEotPx9sdsHv0MT2DOA1jmUV96SAtUzIAilD4EZSn1YdzGH5UShCNE=&amp;_app_id=central_doc_viewer&amp;center_on_screen=true&amp;width=950&amp;height=800&amp;_dd2=%26f%3Dsld%26c%3Dtrue%26os%3D60372%26oe%3D60378" TargetMode="External"/><Relationship Id="rId233" Type="http://schemas.openxmlformats.org/officeDocument/2006/relationships/hyperlink" Target="fdsup://factset/Doc%20Viewer%20Single?float_window=true&amp;positioning_strategy=center_on_screen&amp;_doc_docfn=U2FsdGVkX18pqdkObsn+3lnNnE84MuH2eMv1Rar9mdvQqzgzjzGXRdIBsU3/chobq+ILxCI52ZO7HR9fZmZlWUZ2nXwOmGoYcHcoDw92X+o=&amp;_app_id=central_doc_viewer&amp;center_on_screen=true&amp;width=950&amp;height=800&amp;_dd2=%26f%3Dsld%26c%3Dtrue%26os%3D63662%26oe%3D63668" TargetMode="External"/><Relationship Id="rId254" Type="http://schemas.openxmlformats.org/officeDocument/2006/relationships/hyperlink" Target="fdsup://factset/Doc%20Viewer%20Single?float_window=true&amp;positioning_strategy=center_on_screen&amp;_doc_docfn=U2FsdGVkX19EjzPfNLD+B+b0r9eo3oovFK2mwYIHDFJ01IpwZ1EVwNVkAlqBlPER3gTIcTw2Fk1GRYuN1uOzVBfn6+yEnn/xaHSQwTi5hRs=&amp;_app_id=central_doc_viewer&amp;center_on_screen=true&amp;width=950&amp;height=800&amp;_dd2=%26f%3Dsld%26c%3Dtrue%26os%3D44298%26oe%3D44305" TargetMode="External"/><Relationship Id="rId28" Type="http://schemas.openxmlformats.org/officeDocument/2006/relationships/hyperlink" Target="fdsup://factset/Doc%20Viewer%20Single?float_window=true&amp;positioning_strategy=center_on_screen&amp;_doc_docfn=U2FsdGVkX1+uWHRWW31tmIqrjI+nDLSfWHxYLf7YS4gdxACzw44smUt9vaRfzZ2NtbLD+moT0yvjPDEPjdgI15am1EBrHfVvBuMilT0bTx4=&amp;_app_id=central_doc_viewer&amp;center_on_screen=true&amp;width=950&amp;height=800&amp;_dd2=%26f%3Dsld%26c%3Dtrue%26os%3D136398%26oe%3D136406" TargetMode="External"/><Relationship Id="rId49" Type="http://schemas.openxmlformats.org/officeDocument/2006/relationships/hyperlink" Target="fdsup://factset/Doc%20Viewer%20Single?float_window=true&amp;positioning_strategy=center_on_screen&amp;_doc_docfn=U2FsdGVkX1/mo4/F6qajxjBI8r38zbG6kDVrXO8/Nw5OR84EPSskvsnDJAWX6ykEwqZiRPgSJHjON0TX4dy+h3GI+0B0RKNnGoDQqYrfZVQ=&amp;_app_id=central_doc_viewer&amp;center_on_screen=true&amp;width=950&amp;height=800&amp;_dd2=%26f%3Dsld%26c%3Dtrue%26os%3D138583%26oe%3D138589" TargetMode="External"/><Relationship Id="rId114" Type="http://schemas.openxmlformats.org/officeDocument/2006/relationships/hyperlink" Target="fdsup://factset/Doc%20Viewer%20Single?float_window=true&amp;positioning_strategy=center_on_screen&amp;_doc_docfn=U2FsdGVkX1/LYYr43iM8ZGUm16UZ//Iut0x9/Vvbg78YZMaJlrUYNZDWq7gEorZjERfcU/0T2EjPONw9fvVekIn6ysrGjL66VFUBmLRj6LA=&amp;_app_id=central_doc_viewer&amp;center_on_screen=true&amp;width=950&amp;height=800&amp;_dd2=%26f%3Dsld%26c%3Dtrue%26os%3D150667%26oe%3D150677" TargetMode="External"/><Relationship Id="rId275" Type="http://schemas.openxmlformats.org/officeDocument/2006/relationships/hyperlink" Target="fdsup://factset/Doc%20Viewer%20Single?float_window=true&amp;positioning_strategy=center_on_screen&amp;_doc_docfn=U2FsdGVkX18Ahq4jnczzRxU0siR1O8Qeb9WfIPKBESRzZk/vmjj+Vj9QpITeIH/ssNMxK1en8INsjwikCzJyI46aIZsTNeTy3eHvRkqz0C0=&amp;_app_id=central_doc_viewer&amp;center_on_screen=true&amp;width=950&amp;height=800&amp;_dd2=%26f%3Dsld%26c%3Dtrue%26os%3D42817%26oe%3D42824" TargetMode="External"/><Relationship Id="rId296" Type="http://schemas.openxmlformats.org/officeDocument/2006/relationships/hyperlink" Target="fdsup://factset/Doc%20Viewer%20Single?float_window=true&amp;positioning_strategy=center_on_screen&amp;_doc_docfn=U2FsdGVkX18EFbZsg8ZJmTiDyHe8xgbZ8ppriG8aPlmYotX+jEaNS9A88AEFQiWDbExGJzDQVzVIGRLgTeZHdZcZQtrYP/pIvKliSn9b0Z4=&amp;_app_id=central_doc_viewer&amp;center_on_screen=true&amp;width=950&amp;height=800&amp;_dd2=%26f%3Dsld%26c%3Dtrue%26os%3D61718%26oe%3D61724" TargetMode="External"/><Relationship Id="rId300" Type="http://schemas.openxmlformats.org/officeDocument/2006/relationships/hyperlink" Target="fdsup://factset/Doc%20Viewer%20Single?float_window=true&amp;positioning_strategy=center_on_screen&amp;_doc_docfn=U2FsdGVkX183OEz/4WJ3JGVceOirgYJBLC5LltwxBvGdBltBTSBPbsvNbfl/iCMfnYYqAaDDUuVNJd/CKWJZvEg55jJ3ABONyJxiiZgzbiE=&amp;_app_id=central_doc_viewer&amp;center_on_screen=true&amp;width=950&amp;height=800&amp;_dd2=%26f%3Dsld%26c%3Dtrue%26os%3D64133%26oe%3D64139" TargetMode="External"/><Relationship Id="rId60" Type="http://schemas.openxmlformats.org/officeDocument/2006/relationships/hyperlink" Target="fdsup://factset/Doc%20Viewer%20Single?float_window=true&amp;positioning_strategy=center_on_screen&amp;_doc_docfn=U2FsdGVkX18Qq4wCbvqeO/KJIoP4fDscY51RO/rEx5ooR04oCb0mfDWx6OCijiF+bar7MoAodinSrukjyu/dx9B/ZzjTQrv0w6XufGKk2/k=&amp;_app_id=central_doc_viewer&amp;center_on_screen=true&amp;width=950&amp;height=800&amp;_dd2=%26f%3Dsld%26c%3Dtrue%26os%3D123991%26oe%3D123998" TargetMode="External"/><Relationship Id="rId81" Type="http://schemas.openxmlformats.org/officeDocument/2006/relationships/hyperlink" Target="fdsup://factset/Doc%20Viewer%20Single?float_window=true&amp;positioning_strategy=center_on_screen&amp;_doc_docfn=U2FsdGVkX19yfyIs8xzu4nu7BZVav5SR/ihAJZ3nCZPCTDmuCOhJm9QogxGUQ6/j+WsDbxfGo6p5EKyYND+n0oNavKbVfe/PbXxpnKCiypw=&amp;_app_id=central_doc_viewer&amp;center_on_screen=true&amp;width=950&amp;height=800&amp;_dd2=%26f%3Dsld%26c%3Dtrue%26os%3D141596%26oe%3D141602" TargetMode="External"/><Relationship Id="rId135" Type="http://schemas.openxmlformats.org/officeDocument/2006/relationships/hyperlink" Target="fdsup://factset/Doc%20Viewer%20Single?float_window=true&amp;positioning_strategy=center_on_screen&amp;_doc_docfn=U2FsdGVkX18Z1wOBHauGPIycGJubV9GD+A0cq31lLhBK59wLY7NAMRsm7v1x+VCZ5jgEUjJCWLF8aEBLBW/GtXK16RyaLRTmSVQ6aN/XDjk=&amp;_app_id=central_doc_viewer&amp;center_on_screen=true&amp;width=950&amp;height=800&amp;_dd2=%26f%3Dsld%26c%3Dtrue%26os%3D58078%26oe%3D58079" TargetMode="External"/><Relationship Id="rId156" Type="http://schemas.openxmlformats.org/officeDocument/2006/relationships/hyperlink" Target="fdsup://factset/Doc%20Viewer%20Single?float_window=true&amp;positioning_strategy=center_on_screen&amp;_doc_docfn=U2FsdGVkX1/o7cu4It+zDy+QDaccm0kPU6mp+LTvt7jYueQG3wb8uIZKyD3bNIl4urQfb3dl1nRXkke7C8NiyZd0uBNul97SwMA9PmPnmO8=&amp;_app_id=central_doc_viewer&amp;center_on_screen=true&amp;width=950&amp;height=800&amp;_dd2=%26f%3Dsld%26c%3Dtrue%26os%3D61141%26oe%3D61152" TargetMode="External"/><Relationship Id="rId177" Type="http://schemas.openxmlformats.org/officeDocument/2006/relationships/hyperlink" Target="fdsup://factset/Doc%20Viewer%20Single?float_window=true&amp;positioning_strategy=center_on_screen&amp;_doc_docfn=U2FsdGVkX18UjgiLdd2r38ZeDOQSTVxTHHoinLmk8BPO+41b6uUNH9CPeCbejknv7b6a6Xbt+zF2134h3FJsQJkmWQ2d3CtOjdL0jeB2E0k=&amp;_app_id=central_doc_viewer&amp;center_on_screen=true&amp;width=950&amp;height=800&amp;_dd2=%26f%3Dsld%26c%3Dtrue%26os%3D57700%26oe%3D57705" TargetMode="External"/><Relationship Id="rId198" Type="http://schemas.openxmlformats.org/officeDocument/2006/relationships/hyperlink" Target="fdsup://factset/Doc%20Viewer%20Single?float_window=true&amp;positioning_strategy=center_on_screen&amp;_doc_docfn=U2FsdGVkX1+6AUzcHTSlE317k8WxWdzIGCQBlmvUnQnrq94s83Fjh5Z3Cg7IfozbSCsJLsNB7GFSOt3JEsd8/A0TbknMPXRXUGS5KGpEaV4=&amp;_app_id=central_doc_viewer&amp;center_on_screen=true&amp;width=950&amp;height=800&amp;_dd2=%26f%3Dsld%26c%3Dtrue%26os%3D40550%26oe%3D40557" TargetMode="External"/><Relationship Id="rId321" Type="http://schemas.openxmlformats.org/officeDocument/2006/relationships/hyperlink" Target="fdsup://factset/Doc%20Viewer%20Single?float_window=true&amp;positioning_strategy=center_on_screen&amp;_doc_docfn=U2FsdGVkX187S3Fqqr/9UsAGVk53mL2ttofF121wGEAb5JasgJ8+8ogPdtgZtcZTO2bfre/aH+qCC4UTTKDQ6ve7OMCjzqY140KoMzRayCI=&amp;_app_id=central_doc_viewer&amp;center_on_screen=true&amp;width=950&amp;height=800&amp;_dd2=%26f%3Dsld%26c%3Dtrue%26os%3D74253%26oe%3D74260" TargetMode="External"/><Relationship Id="rId342" Type="http://schemas.openxmlformats.org/officeDocument/2006/relationships/hyperlink" Target="fdsup://factset/Doc%20Viewer%20Single?float_window=true&amp;positioning_strategy=center_on_screen&amp;_doc_docfn=U2FsdGVkX1/xcpZObEqCHzeyAJryxObhaZrL1+gFTuzlVpQSidlNO9O8AUXNZaaGxqEDpzb7q+x23A5wpGLZWm9sW2dVZnWuYgKS7fF1dic=&amp;_app_id=central_doc_viewer&amp;center_on_screen=true&amp;width=950&amp;height=800&amp;_dd2=%26f%3Dsld%26c%3Dtrue%26os%3D72568%26oe%3D72575" TargetMode="External"/><Relationship Id="rId363" Type="http://schemas.openxmlformats.org/officeDocument/2006/relationships/hyperlink" Target="fdsup://factset/Doc%20Viewer%20Single?float_window=true&amp;positioning_strategy=center_on_screen&amp;_doc_docfn=U2FsdGVkX1/HwuTXP2B+erOfjESJMz8AWn2n3xIrcfqNEEX+3bZ/0bgqNIugCmdrSMPFnKWrtNgX3OfNSEnPBzRb5F6bZxgSzH2iAz+aepQ=&amp;_app_id=central_doc_viewer&amp;center_on_screen=true&amp;width=950&amp;height=800&amp;_dd2=%26f%3Dsld%26c%3Dtrue%26os%3D65839%26oe%3D65848" TargetMode="External"/><Relationship Id="rId384" Type="http://schemas.openxmlformats.org/officeDocument/2006/relationships/hyperlink" Target="fdsup://factset/Doc%20Viewer%20Single?float_window=true&amp;positioning_strategy=center_on_screen&amp;_doc_docfn=U2FsdGVkX18yD5Nl5toqtJ5ohEz5Inx9hXbr0ux71FuDwDc3cpWcPcMDbpKC2C05ZI8p06TQKLyvvqi5uqsYPvcT/fptdNfEmcIGyBTj8mM=&amp;_app_id=central_doc_viewer&amp;center_on_screen=true&amp;width=950&amp;height=800&amp;_dd2=%26f%3Dsld%26c%3Dtrue%26os%3D68123%26oe%3D68129" TargetMode="External"/><Relationship Id="rId202" Type="http://schemas.openxmlformats.org/officeDocument/2006/relationships/hyperlink" Target="fdsup://factset/Doc%20Viewer%20Single?float_window=true&amp;positioning_strategy=center_on_screen&amp;_doc_docfn=U2FsdGVkX18/GnL8HvvPTAtNSru3vHpdAPF9rTXwBpHO3+odOmCfd65mFCFPbgvZ/gWgw/lKzNxfv7Sz+IgNM+MOSzwXd6b/ZOqAFNKwfzE=&amp;_app_id=central_doc_viewer&amp;center_on_screen=true&amp;width=950&amp;height=800&amp;_dd2=%26f%3Dsld%26c%3Dtrue%26os%3D61860%26oe%3D61867" TargetMode="External"/><Relationship Id="rId223" Type="http://schemas.openxmlformats.org/officeDocument/2006/relationships/hyperlink" Target="fdsup://factset/Doc%20Viewer%20Single?float_window=true&amp;positioning_strategy=center_on_screen&amp;_doc_docfn=U2FsdGVkX1/JDZmz5wAP056wQ+Z/wmQdnEBMuN1YfyxuzdGPeEzrSbuGjRXAmP0unXZTe4nWAFhLL+9tueVrsFoGu+4lFkmhn4Td0xMu6KU=&amp;_app_id=central_doc_viewer&amp;center_on_screen=true&amp;width=950&amp;height=800&amp;_dd2=%26f%3Dsld%26c%3Dtrue%26os%3D62405%26oe%3D62411" TargetMode="External"/><Relationship Id="rId244" Type="http://schemas.openxmlformats.org/officeDocument/2006/relationships/hyperlink" Target="fdsup://factset/Doc%20Viewer%20Single?float_window=true&amp;positioning_strategy=center_on_screen&amp;_doc_docfn=U2FsdGVkX1/ZJevW3P/MP19uUmwkB78XzlBg+xuROzO1WACZqQ0r+xhl+MOMKesQptuRQyLGOzqrTGM9c5b/beduuoWl48haNJf0Wbzk8a8=&amp;_app_id=central_doc_viewer&amp;center_on_screen=true&amp;width=950&amp;height=800&amp;_dd2=%26f%3Dsld%26c%3Dtrue%26os%3D39097%26oe%3D39102" TargetMode="External"/><Relationship Id="rId18" Type="http://schemas.openxmlformats.org/officeDocument/2006/relationships/hyperlink" Target="fdsup://factset/Doc%20Viewer%20Single?float_window=true&amp;positioning_strategy=center_on_screen&amp;_doc_docfn=U2FsdGVkX1/79ROUouEjtee8IxpXQEMb5e/Dcj5y+95MesdCUaEAj2/H6jCMkqKQ714SUUjalH85WwAtrXV34CuSyvHpLlP3MWqevK6piXU=&amp;_app_id=central_doc_viewer&amp;center_on_screen=true&amp;width=950&amp;height=800&amp;_dd2=%26f%3Dsld%26c%3Dtrue%26os%3D135475%26oe%3D135482" TargetMode="External"/><Relationship Id="rId39" Type="http://schemas.openxmlformats.org/officeDocument/2006/relationships/hyperlink" Target="fdsup://factset/Doc%20Viewer%20Single?float_window=true&amp;positioning_strategy=center_on_screen&amp;_doc_docfn=U2FsdGVkX18lVNdlJGHx8p98Wjw8F9jibH8oRviwjqts6/GWLvStvvWQEr++r2S9RLEIdhpHTlw+4I5UNExtE0dRT6oMswIxvJfDLU1ArH0=&amp;_app_id=central_doc_viewer&amp;center_on_screen=true&amp;width=950&amp;height=800&amp;_dd2=%26f%3Dsld%26c%3Dtrue%26os%3D153951%26oe%3D153956" TargetMode="External"/><Relationship Id="rId265" Type="http://schemas.openxmlformats.org/officeDocument/2006/relationships/hyperlink" Target="fdsup://factset/Doc%20Viewer%20Single?float_window=true&amp;positioning_strategy=center_on_screen&amp;_doc_docfn=U2FsdGVkX1/FhQOsLnrIb6BR913bRrUIQ14apGLbiPkpsPgyzoV/S88dFXCgo2HS2GLRsWhsjzhOvqZJuM2E4hVVGvET9j08b1eZ/15gfVk=&amp;_app_id=central_doc_viewer&amp;center_on_screen=true&amp;width=950&amp;height=800&amp;_dd2=%26f%3Dsld%26c%3Dtrue%26os%3D45981%26oe%3D45982" TargetMode="External"/><Relationship Id="rId286" Type="http://schemas.openxmlformats.org/officeDocument/2006/relationships/hyperlink" Target="fdsup://factset/Doc%20Viewer%20Single?float_window=true&amp;positioning_strategy=center_on_screen&amp;_doc_docfn=U2FsdGVkX19l5+DXov2SG9PPh8CvJdVY64R++2A3bPeuTWOwrRWcA1hrXg5mleJ0r0nSewprINRaYPwGcmzWXWKLHbtvBSLrLmg6O/nkn0Q=&amp;_app_id=central_doc_viewer&amp;center_on_screen=true&amp;width=950&amp;height=800&amp;_dd2=%26f%3Dsld%26c%3Dtrue%26os%3D79486%26oe%3D79493" TargetMode="External"/><Relationship Id="rId50" Type="http://schemas.openxmlformats.org/officeDocument/2006/relationships/hyperlink" Target="fdsup://factset/Doc%20Viewer%20Single?float_window=true&amp;positioning_strategy=center_on_screen&amp;_doc_docfn=U2FsdGVkX19F2lL1OQs2D0XnkCx61pHr/nr1CBA+C8h/LNEZ/pY7OGv7UJxButvViSY3ynJniMV9BJIXMQZqF6547WNf5BWoLrtFSmiGdr0=&amp;_app_id=central_doc_viewer&amp;center_on_screen=true&amp;width=950&amp;height=800&amp;_dd2=%26f%3Dsld%26c%3Dtrue%26os%3D138555%26oe%3D138561" TargetMode="External"/><Relationship Id="rId104" Type="http://schemas.openxmlformats.org/officeDocument/2006/relationships/hyperlink" Target="fdsup://factset/Doc%20Viewer%20Single?float_window=true&amp;positioning_strategy=center_on_screen&amp;_doc_docfn=U2FsdGVkX181A3x9uQah2hCUhowm1MwpszH1kvwxtxZ+aEH2kMZGaGQ6NVTxE2eIvXWqNxjL77Y6HCPqj66ah4sdna8FajZ3ZUF4OI1vmz4=&amp;_app_id=central_doc_viewer&amp;center_on_screen=true&amp;width=950&amp;height=800&amp;_dd2=%26f%3Dsld%26c%3Dtrue%26os%3D148315%26oe%3D148321" TargetMode="External"/><Relationship Id="rId125" Type="http://schemas.openxmlformats.org/officeDocument/2006/relationships/hyperlink" Target="fdsup://factset/Doc%20Viewer%20Single?float_window=true&amp;positioning_strategy=center_on_screen&amp;_doc_docfn=U2FsdGVkX1+PPp9ORz/+l0TEMqmztcZg9QxXDMWsuAOCiBLvPJ9m8UhpOycQTeLEhnTW3a6AbbjGcPibERcKauDfi0B5S4tHk+i1P0A9y4A=&amp;_app_id=central_doc_viewer&amp;center_on_screen=true&amp;width=950&amp;height=800&amp;_dd2=%26f%3Dsld%26c%3Dtrue%26os%3D60628%26oe%3D60639" TargetMode="External"/><Relationship Id="rId146" Type="http://schemas.openxmlformats.org/officeDocument/2006/relationships/hyperlink" Target="fdsup://factset/Doc%20Viewer%20Single?float_window=true&amp;positioning_strategy=center_on_screen&amp;_doc_docfn=U2FsdGVkX1/CSHXMknfsGklBbZ6Pdv/RqD0ZuF6hEjClHA8cMxLWha+7ry9W8uzbPMTwDL3tGGEyA3sfxhbfPkF6vCCdn5O5k3ONOg3PAOs=&amp;_app_id=central_doc_viewer&amp;center_on_screen=true&amp;width=950&amp;height=800&amp;_dd2=%26f%3Dsld%26c%3Dtrue%26os%3D59631%26oe%3D59641" TargetMode="External"/><Relationship Id="rId167" Type="http://schemas.openxmlformats.org/officeDocument/2006/relationships/hyperlink" Target="fdsup://factset/Doc%20Viewer%20Single?float_window=true&amp;positioning_strategy=center_on_screen&amp;_doc_docfn=U2FsdGVkX18VRpMEMQQDdmAk7hKpBKsYtVzfq09M2Q3P2DPHxsd+c//LeX6Bh37yJuIW7+vFJNb2rqO5INNtSEtIyCdcYYnapyICy+oSeNg=&amp;_app_id=central_doc_viewer&amp;center_on_screen=true&amp;width=950&amp;height=800&amp;_dd2=%26f%3Dsld%26c%3Dtrue%26os%3D56721%26oe%3D56727" TargetMode="External"/><Relationship Id="rId188" Type="http://schemas.openxmlformats.org/officeDocument/2006/relationships/hyperlink" Target="fdsup://factset/Doc%20Viewer%20Single?float_window=true&amp;positioning_strategy=center_on_screen&amp;_doc_docfn=U2FsdGVkX18NANF1wNvDMGaI9YtwdIYe3lsZnlaKQblXmA5m6oojExkoo30Gem0CHH0Bx+2zi1bQRTrdBUZ0qUbxikNaAJ4dFFnvCtNUtVA=&amp;_app_id=central_doc_viewer&amp;center_on_screen=true&amp;width=950&amp;height=800&amp;_dd2=%26f%3Dsld%26c%3Dtrue%26os%3D34488%26oe%3D34493" TargetMode="External"/><Relationship Id="rId311" Type="http://schemas.openxmlformats.org/officeDocument/2006/relationships/hyperlink" Target="fdsup://factset/Doc%20Viewer%20Single?float_window=true&amp;positioning_strategy=center_on_screen&amp;_doc_docfn=U2FsdGVkX1/uXryFMvulEKAdhGbr5DKdRjwFPGazDdyYeHVXSfo2PGq2ZB1j93fRg1MsSn1UQgct05fgopV2BfntI38ALC9l4mpYt3uGrYU=&amp;_app_id=central_doc_viewer&amp;center_on_screen=true&amp;width=950&amp;height=800&amp;_dd2=%26f%3Dsld%26c%3Dtrue%26os%3D68833%26oe%3D68839" TargetMode="External"/><Relationship Id="rId332" Type="http://schemas.openxmlformats.org/officeDocument/2006/relationships/hyperlink" Target="fdsup://factset/Doc%20Viewer%20Single?float_window=true&amp;positioning_strategy=center_on_screen&amp;_doc_docfn=U2FsdGVkX18Wk0YsrO3xfUBvcUZYqK4qj9MTOB1I65cEQlKWgUCaG9hQiFtxK4jIXIL5OWruL89lUnZ59yEgPs2cxI/mLbFGBS2w02+3rMU=&amp;_app_id=central_doc_viewer&amp;center_on_screen=true&amp;width=950&amp;height=800&amp;_dd2=%26f%3Dsld%26c%3Dtrue%26os%3D61205%26oe%3D61211" TargetMode="External"/><Relationship Id="rId353" Type="http://schemas.openxmlformats.org/officeDocument/2006/relationships/hyperlink" Target="fdsup://factset/Doc%20Viewer%20Single?float_window=true&amp;positioning_strategy=center_on_screen&amp;_doc_docfn=U2FsdGVkX1/ygHpW7qxraiPFT9vZUjH7ZtqhUx8OwUyIQ2Xs7UjfB/jD1JSJlZ3Vq9UGBTAEMKi3DLLUq18ncbcAb9SdqFHsnp1MhmFKWOU=&amp;_app_id=central_doc_viewer&amp;center_on_screen=true&amp;width=950&amp;height=800&amp;_dd2=%26f%3Dsld%26c%3Dtrue%26os%3D71629%26oe%3D71635" TargetMode="External"/><Relationship Id="rId374" Type="http://schemas.openxmlformats.org/officeDocument/2006/relationships/hyperlink" Target="fdsup://factset/Doc%20Viewer%20Single?float_window=true&amp;positioning_strategy=center_on_screen&amp;_doc_docfn=U2FsdGVkX184PuO6K42hXIagU1VbGWqvJwfHgSuN/a/OI/qVvZqYyA30VliO9iudQ62rBpLyuirh98gqPVWo0rtpzvkfuDJUm7cgQv0fAyg=&amp;_app_id=central_doc_viewer&amp;center_on_screen=true&amp;width=950&amp;height=800&amp;_dd2=%26f%3Dsld%26c%3Dtrue%26os%3D63941%26oe%3D63947" TargetMode="External"/><Relationship Id="rId395" Type="http://schemas.openxmlformats.org/officeDocument/2006/relationships/hyperlink" Target="fdsup://factset/Doc%20Viewer%20Single?float_window=true&amp;positioning_strategy=center_on_screen&amp;_doc_docfn=U2FsdGVkX18pLTZT6vzUXIqwNpEla4SUW6nX35m2CKNoAi/GIm5RYnQeysMq2HTo3tFIs25LcvvtokSvVMs+19X7AkWrfijmoy2YuUupV4M=&amp;_app_id=central_doc_viewer&amp;center_on_screen=true&amp;width=950&amp;height=800&amp;_dd2=%26f%3Dsld%26c%3Dtrue%26os%3D74076%26oe%3D74083" TargetMode="External"/><Relationship Id="rId71" Type="http://schemas.openxmlformats.org/officeDocument/2006/relationships/hyperlink" Target="fdsup://factset/Doc%20Viewer%20Single?float_window=true&amp;positioning_strategy=center_on_screen&amp;_doc_docfn=U2FsdGVkX18cpL+Tm4bWlIM7KQZkePt3TtNgrLZ08cE/FVm89M2zNdW2QJyv2acLQgvBJcSSYwCviH/QviR+F8EhgHWdWbgb9YQY6JUzAgU=&amp;_app_id=central_doc_viewer&amp;center_on_screen=true&amp;width=950&amp;height=800&amp;_dd2=%26f%3Dsld%26c%3Dtrue%26os%3D74155%26oe%3D74160" TargetMode="External"/><Relationship Id="rId92" Type="http://schemas.openxmlformats.org/officeDocument/2006/relationships/hyperlink" Target="fdsup://factset/Doc%20Viewer%20Single?float_window=true&amp;positioning_strategy=center_on_screen&amp;_doc_docfn=U2FsdGVkX18SSdgmqrb1Q5PAJLGwVK8PwOSLk5akYoNJhNTVFIhu9pbx0o0AmTk6BSQRCkzaqzp3eEduu4rHxHt/J5FMlk8u8nLW59HPH9s=&amp;_app_id=central_doc_viewer&amp;center_on_screen=true&amp;width=950&amp;height=800&amp;_dd2=%26f%3Dsld%26c%3Dtrue%26os%3D158562%26oe%3D158565" TargetMode="External"/><Relationship Id="rId213" Type="http://schemas.openxmlformats.org/officeDocument/2006/relationships/hyperlink" Target="fdsup://factset/Doc%20Viewer%20Single?float_window=true&amp;positioning_strategy=center_on_screen&amp;_doc_docfn=U2FsdGVkX19VTmRUfqo3GkI4JBhgBnzSpIt4LvVFB68bcjJBBDwHJ+FFFiXS0fMi2tlqiel6794WyZC/npgq9s/oM0qBszsccE/wfqzB4yk=&amp;_app_id=central_doc_viewer&amp;center_on_screen=true&amp;width=950&amp;height=800&amp;_dd2=%26f%3Dsld%26c%3Dtrue%26os%3D36266%26oe%3D36272" TargetMode="External"/><Relationship Id="rId234" Type="http://schemas.openxmlformats.org/officeDocument/2006/relationships/hyperlink" Target="fdsup://factset/Doc%20Viewer%20Single?float_window=true&amp;positioning_strategy=center_on_screen&amp;_doc_docfn=U2FsdGVkX1+m4nsjGGompUog/UN74fftTx+PIaj+Gh1NvzxeXzttHDr8PdK1Sc1M6lNJoUFOjIS5mshTQnm/qkV4SxXRYYShYWllbsM79cI=&amp;_app_id=central_doc_viewer&amp;center_on_screen=true&amp;width=950&amp;height=800&amp;_dd2=%26f%3Dsld%26c%3Dtrue%26os%3D74320%26oe%3D74326" TargetMode="External"/><Relationship Id="rId2" Type="http://schemas.openxmlformats.org/officeDocument/2006/relationships/hyperlink" Target="fdsup://factset/Doc%20Viewer%20Single?float_window=true&amp;positioning_strategy=center_on_screen&amp;_doc_docfn=U2FsdGVkX1/Wfem4wKue6Owc1QzAp+xhTkK7d/nPrFi+csVuyBqnVGhaVFqzvkWTgpu9xBXx4fXF/BkBZKjl/doLrtu3YnssgBggfbW2Ib0=&amp;_app_id=central_doc_viewer&amp;center_on_screen=true&amp;width=950&amp;height=800&amp;_dd2=%26f%3Dsld%26c%3Dtrue%26os%3D134029%26oe%3D134040" TargetMode="External"/><Relationship Id="rId29" Type="http://schemas.openxmlformats.org/officeDocument/2006/relationships/hyperlink" Target="fdsup://factset/Doc%20Viewer%20Single?float_window=true&amp;positioning_strategy=center_on_screen&amp;_doc_docfn=U2FsdGVkX19cvnnFBjFDhLduBnqm8KXhXpVNAqrqO8OrDFgtUHnlpjav+NglpN6qm9+L7VFZ3iA7AYKksQ60CJe+HM+XQszT3HA1oAW8SB8=&amp;_app_id=central_doc_viewer&amp;center_on_screen=true&amp;width=950&amp;height=800&amp;_dd2=%26f%3Dsld%26c%3Dtrue%26os%3D153191%26oe%3D153199" TargetMode="External"/><Relationship Id="rId255" Type="http://schemas.openxmlformats.org/officeDocument/2006/relationships/hyperlink" Target="fdsup://factset/Doc%20Viewer%20Single?float_window=true&amp;positioning_strategy=center_on_screen&amp;_doc_docfn=U2FsdGVkX19eMkMmuP/qKRp/+zIxGlfdxx0zksoLThr8uxTu6KYMJt1v12+MaozUK5IuT02jnCPm92dzxXXv7+s1/J5vqpFuwzabskeTMqQ=&amp;_app_id=central_doc_viewer&amp;center_on_screen=true&amp;width=950&amp;height=800&amp;_dd2=%26f%3Dsld%26c%3Dtrue%26os%3D72347%26oe%3D72348" TargetMode="External"/><Relationship Id="rId276" Type="http://schemas.openxmlformats.org/officeDocument/2006/relationships/hyperlink" Target="fdsup://factset/Doc%20Viewer%20Single?float_window=true&amp;positioning_strategy=center_on_screen&amp;_doc_docfn=U2FsdGVkX193fhr2dnUa0gC3haFnTO53XE5O4rRF7ioL5ZLn6dDyub0ysJaq1yOD0tQQfLLn7ANRneJCUfnSnrs25g9hUoDYnzYlhpiHPdw=&amp;_app_id=central_doc_viewer&amp;center_on_screen=true&amp;width=950&amp;height=800&amp;_dd2=%26f%3Dsld%26c%3Dtrue%26os%3D87135%26oe%3D87136" TargetMode="External"/><Relationship Id="rId297" Type="http://schemas.openxmlformats.org/officeDocument/2006/relationships/hyperlink" Target="fdsup://factset/Doc%20Viewer%20Single?float_window=true&amp;positioning_strategy=center_on_screen&amp;_doc_docfn=U2FsdGVkX1/TWzqPrX9nAPkyNMAUV7m2w8WGBGI5IA7M0zCiXkxwYa3Nr5BTvnLgTBef57TBNnYDs1pJAvhwPtGH+TSC675Jfiil+l6JPD4=&amp;_app_id=central_doc_viewer&amp;center_on_screen=true&amp;width=950&amp;height=800&amp;_dd2=%26f%3Dsld%26c%3Dtrue%26os%3D62684%26oe%3D62691" TargetMode="External"/><Relationship Id="rId40" Type="http://schemas.openxmlformats.org/officeDocument/2006/relationships/hyperlink" Target="fdsup://factset/Doc%20Viewer%20Single?float_window=true&amp;positioning_strategy=center_on_screen&amp;_doc_docfn=U2FsdGVkX1/Lvh+Bw5+9rRt74RkJj9UCo9JjR7u9k3vl2W0KrNEjwL2aGFtYRmzdWWY4NcoRNPRUIxtSUutNh3ogzCy6bk+FVtYLIVkqU5o=&amp;_app_id=central_doc_viewer&amp;center_on_screen=true&amp;width=950&amp;height=800&amp;_dd2=%26f%3Dsld%26c%3Dtrue%26os%3D122588%26oe%3D122593" TargetMode="External"/><Relationship Id="rId115" Type="http://schemas.openxmlformats.org/officeDocument/2006/relationships/hyperlink" Target="fdsup://factset/Doc%20Viewer%20Single?float_window=true&amp;positioning_strategy=center_on_screen&amp;_doc_docfn=U2FsdGVkX18A5oytFR5iFmq212Maocg8Bpv4lZc7tOpHj3keG8Ez30VgiyzpBRzAO8jNJwitMLkv5pGDeXMf3n3773IhP5M6F/DxpyxwbMU=&amp;_app_id=central_doc_viewer&amp;center_on_screen=true&amp;width=950&amp;height=800&amp;_dd2=%26f%3Dsld%26c%3Dtrue%26os%3D150569%26oe%3D150579" TargetMode="External"/><Relationship Id="rId136" Type="http://schemas.openxmlformats.org/officeDocument/2006/relationships/hyperlink" Target="fdsup://factset/Doc%20Viewer%20Single?float_window=true&amp;positioning_strategy=center_on_screen&amp;_doc_docfn=U2FsdGVkX19Cb0wC/eLW+dyZnATrSF5vW9bkNg2TQWmc7reZFJ9BQFURE2O+ZEp7Yy/5AQgkfhsfs44qV8VhMR0L+fCK8Y8aEaEZEzNq060=&amp;_app_id=central_doc_viewer&amp;center_on_screen=true&amp;width=950&amp;height=800&amp;_dd2=%26f%3Dsld%26c%3Dtrue%26os%3D58612%26oe%3D58623" TargetMode="External"/><Relationship Id="rId157" Type="http://schemas.openxmlformats.org/officeDocument/2006/relationships/hyperlink" Target="fdsup://factset/Doc%20Viewer%20Single?float_window=true&amp;positioning_strategy=center_on_screen&amp;_doc_docfn=U2FsdGVkX1+Ydg3BAikdscD6DA7qvfmSqwBO2a6jAyHodFk+HHPXwMb06sIbv+51ozD4CD3x3FLlITsMA2Z/p91/TwpPe7RBHqddKdVF5uY=&amp;_app_id=central_doc_viewer&amp;center_on_screen=true&amp;width=950&amp;height=800&amp;_dd2=%26f%3Dsld%26c%3Dtrue%26os%3D56299%26oe%3D56306" TargetMode="External"/><Relationship Id="rId178" Type="http://schemas.openxmlformats.org/officeDocument/2006/relationships/hyperlink" Target="fdsup://factset/Doc%20Viewer%20Single?float_window=true&amp;positioning_strategy=center_on_screen&amp;_doc_docfn=U2FsdGVkX1/LmP6U0Z9wlp+tqB8fzhOBuKEqioT76JAc8D0Xdj3B5JBAcZJLNh6TLmzx8b2GO1dh1xgLtd78ueHgHVJSUyqYybRUYkC57rE=&amp;_app_id=central_doc_viewer&amp;center_on_screen=true&amp;width=950&amp;height=800&amp;_dd2=%26f%3Dsld%26c%3Dtrue%26os%3D33522%26oe%3D33523" TargetMode="External"/><Relationship Id="rId301" Type="http://schemas.openxmlformats.org/officeDocument/2006/relationships/hyperlink" Target="fdsup://factset/Doc%20Viewer%20Single?float_window=true&amp;positioning_strategy=center_on_screen&amp;_doc_docfn=U2FsdGVkX19SCOomqHQeyZL1hZ3f0oYeVYPnWljirVILsKG2BO+eMb9GeqhJ5zyNZS0T3gb0b/WENOpFvsFkmZ1JqB7Ihh2+EyorLiRirnU=&amp;_app_id=central_doc_viewer&amp;center_on_screen=true&amp;width=950&amp;height=800&amp;_dd2=%26f%3Dsld%26c%3Dtrue%26os%3D64607%26oe%3D64609" TargetMode="External"/><Relationship Id="rId322" Type="http://schemas.openxmlformats.org/officeDocument/2006/relationships/hyperlink" Target="fdsup://factset/Doc%20Viewer%20Single?float_window=true&amp;positioning_strategy=center_on_screen&amp;_doc_docfn=U2FsdGVkX185o/1ca8BKacy9n0Kdy9iKxINPoODeJ2Q6zMLAn32CVehYuNEU54Am9Fk/PJA8cIOKoJNAA+VV1n8tLZuIJOSUibVP+jWz14k=&amp;_app_id=central_doc_viewer&amp;center_on_screen=true&amp;width=950&amp;height=800&amp;_dd2=%26f%3Dsld%26c%3Dtrue%26os%3D77707%26oe%3D77711" TargetMode="External"/><Relationship Id="rId343" Type="http://schemas.openxmlformats.org/officeDocument/2006/relationships/hyperlink" Target="fdsup://factset/Doc%20Viewer%20Single?float_window=true&amp;positioning_strategy=center_on_screen&amp;_doc_docfn=U2FsdGVkX189CBGqzLchN8Kxm7GAl+TzgZubidDQwhTJ5+23V7mnSC19MBHMnkou/gD4R2qjjgJRSZfYofIAX8j2pmU0gO/NPllo81aPa00=&amp;_app_id=central_doc_viewer&amp;center_on_screen=true&amp;width=950&amp;height=800&amp;_dd2=%26f%3Dsld%26c%3Dtrue%26os%3D69320%26oe%3D69327" TargetMode="External"/><Relationship Id="rId364" Type="http://schemas.openxmlformats.org/officeDocument/2006/relationships/hyperlink" Target="fdsup://factset/Doc%20Viewer%20Single?float_window=true&amp;positioning_strategy=center_on_screen&amp;_doc_docfn=U2FsdGVkX1+kcXMUBog2Bfr3cp8cs97o7poZjnKkfPWGfUmYJT9kaGDA7J3u+REfdV9W0cuxnpGliXHvTzQTqmaNdDpMuwoqLwORrHESxL4=&amp;_app_id=central_doc_viewer&amp;center_on_screen=true&amp;width=950&amp;height=800&amp;_dd2=%26f%3Dsld%26c%3Dtrue%26os%3D62008%26oe%3D62015" TargetMode="External"/><Relationship Id="rId61" Type="http://schemas.openxmlformats.org/officeDocument/2006/relationships/hyperlink" Target="fdsup://factset/Doc%20Viewer%20Single?float_window=true&amp;positioning_strategy=center_on_screen&amp;_doc_docfn=U2FsdGVkX19mmq9fAmeFVXs0pah4u2n+nh5sqt7sVRyebd7sOaPCf6c6m6dizalNADeMaSeax681nhRA3VlpgWRHkKqHyJzuVX2jzdmwNZM=&amp;_app_id=central_doc_viewer&amp;center_on_screen=true&amp;width=950&amp;height=800&amp;_dd2=%26f%3Dsld%26c%3Dtrue%26os%3D121814%26oe%3D121821" TargetMode="External"/><Relationship Id="rId82" Type="http://schemas.openxmlformats.org/officeDocument/2006/relationships/hyperlink" Target="fdsup://factset/Doc%20Viewer%20Single?float_window=true&amp;positioning_strategy=center_on_screen&amp;_doc_docfn=U2FsdGVkX1/ZCQBbo0ux592Et0bMqgY79pSj3BrdWQqGh9xcuz5Qm6BOessUhKVoPZf/91CjnYCsJPsMYSSeIPG/B+RQ0unmYOe1x4+jihs=&amp;_app_id=central_doc_viewer&amp;center_on_screen=true&amp;width=950&amp;height=800&amp;_dd2=%26f%3Dsld%26c%3Dtrue%26os%3D141796%26oe%3D141801" TargetMode="External"/><Relationship Id="rId199" Type="http://schemas.openxmlformats.org/officeDocument/2006/relationships/hyperlink" Target="fdsup://factset/Doc%20Viewer%20Single?float_window=true&amp;positioning_strategy=center_on_screen&amp;_doc_docfn=U2FsdGVkX1+e6bCJslNzvY5dXREG13EEB/1M2Zz2ymQiXQmatNv5eN4t4tgW8ISGhxCQDRZQflfE4LD0Kikx9fAcqBRe/xNfVmhH9qQNjwU=&amp;_app_id=central_doc_viewer&amp;center_on_screen=true&amp;width=950&amp;height=800&amp;_dd2=%26f%3Dsld%26c%3Dtrue%26os%3D67843%26oe%3D67854" TargetMode="External"/><Relationship Id="rId203" Type="http://schemas.openxmlformats.org/officeDocument/2006/relationships/hyperlink" Target="fdsup://factset/Doc%20Viewer%20Single?float_window=true&amp;positioning_strategy=center_on_screen&amp;_doc_docfn=U2FsdGVkX1/Dd2w+icAkk7ceGKCpj1wYoMkdFpouFelBiZIxh6lLZ7hAOHv4shl2K89vZul71utVUr23ame2W+hqanX6E5TUuJd3RavUC9I=&amp;_app_id=central_doc_viewer&amp;center_on_screen=true&amp;width=950&amp;height=800&amp;_dd2=%26f%3Dsld%26c%3Dtrue%26os%3D37789%26oe%3D37796" TargetMode="External"/><Relationship Id="rId385" Type="http://schemas.openxmlformats.org/officeDocument/2006/relationships/hyperlink" Target="fdsup://factset/Doc%20Viewer%20Single?float_window=true&amp;positioning_strategy=center_on_screen&amp;_doc_docfn=U2FsdGVkX1+SSa3FLat3ssH1GHJ3wnROHOTh1NiPceoEoalk0vKavw9cDXB4udMtvUIqEsZHPKzFcW0l/HDkZiFnhnDZIHu+xBnektd2jeU=&amp;_app_id=central_doc_viewer&amp;center_on_screen=true&amp;width=950&amp;height=800&amp;_dd2=%26f%3Dsld%26c%3Dtrue%26os%3D68643%26oe%3D68649" TargetMode="External"/><Relationship Id="rId19" Type="http://schemas.openxmlformats.org/officeDocument/2006/relationships/hyperlink" Target="fdsup://factset/Doc%20Viewer%20Single?float_window=true&amp;positioning_strategy=center_on_screen&amp;_doc_docfn=U2FsdGVkX19ryKnzFbZebYp31bjmTFzPJME///Rt3Az+i7wcDhDHKrVRWdkyS8RFKPB4AuujXRf06lm9EOQs4sqJyLxk6+8yccC7eggeBr0=&amp;_app_id=central_doc_viewer&amp;center_on_screen=true&amp;width=950&amp;height=800&amp;_dd2=%26f%3Dsld%26c%3Dtrue%26os%3D135666%26oe%3D135673" TargetMode="External"/><Relationship Id="rId224" Type="http://schemas.openxmlformats.org/officeDocument/2006/relationships/hyperlink" Target="fdsup://factset/Doc%20Viewer%20Single?float_window=true&amp;positioning_strategy=center_on_screen&amp;_doc_docfn=U2FsdGVkX1/1kg1iFj06AlGhqmT/Mb0W48elRYNbA3cU2ezmWV0IJFpuevYVvLkoT4fdYCZbhziPsw5PH8jDaNaWTuV7Lx79hqq8+WPx3xc=&amp;_app_id=central_doc_viewer&amp;center_on_screen=true&amp;width=950&amp;height=800&amp;_dd2=%26f%3Dsld%26c%3Dtrue%26os%3D73089%26oe%3D73095" TargetMode="External"/><Relationship Id="rId245" Type="http://schemas.openxmlformats.org/officeDocument/2006/relationships/hyperlink" Target="fdsup://factset/Doc%20Viewer%20Single?float_window=true&amp;positioning_strategy=center_on_screen&amp;_doc_docfn=U2FsdGVkX187z+DSZHyk+jDYsJW9S5VnNuOww0P+BP8nqiKzd5iYTrdFVXO12CUUKsCoyfe2LTnCqQou+E6Czc6RepY4xKpLUv7/Wqvd7AQ=&amp;_app_id=central_doc_viewer&amp;center_on_screen=true&amp;width=950&amp;height=800&amp;_dd2=%26f%3Dsld%26c%3Dtrue%26os%3D70173%26oe%3D70183" TargetMode="External"/><Relationship Id="rId266" Type="http://schemas.openxmlformats.org/officeDocument/2006/relationships/hyperlink" Target="fdsup://factset/Doc%20Viewer%20Single?float_window=true&amp;positioning_strategy=center_on_screen&amp;_doc_docfn=U2FsdGVkX19agGIwL2vx6CCFN60Ap8C3s+4o/Ao6smJ9NPjioTeF4E3gvdTWOGPiTT0ETeIGokkAsEWHLnMaFa3f4wLNgKjscHtgtXhaMWE=&amp;_app_id=central_doc_viewer&amp;center_on_screen=true&amp;width=950&amp;height=800&amp;_dd2=%26f%3Dsld%26c%3Dtrue%26os%3D90567%26oe%3D90573" TargetMode="External"/><Relationship Id="rId287" Type="http://schemas.openxmlformats.org/officeDocument/2006/relationships/hyperlink" Target="fdsup://factset/Doc%20Viewer%20Single?float_window=true&amp;positioning_strategy=center_on_screen&amp;_doc_docfn=U2FsdGVkX19WDBfFp9DAasFpUmxszT8LJpQTBcQFzl/Sbo1PnDutxPZbN9rw0xtzCQWvcm5E5iKZBCiWnqqbueMtPHBc34VDXIcEOZ1T3e4=&amp;_app_id=central_doc_viewer&amp;center_on_screen=true&amp;width=950&amp;height=800&amp;_dd2=%26f%3Dsld%26c%3Dtrue%26os%3D67262%26oe%3D67268" TargetMode="External"/><Relationship Id="rId30" Type="http://schemas.openxmlformats.org/officeDocument/2006/relationships/hyperlink" Target="fdsup://factset/Doc%20Viewer%20Single?float_window=true&amp;positioning_strategy=center_on_screen&amp;_doc_docfn=U2FsdGVkX19Fh158clSp93VHYl16WxKa9+CDJCgtOmNbQuh357d5k3gN2NJC1y/7sx579A0h+pOFLnuR+DuKnm6knv9JCu9AEnciKBWwvCU=&amp;_app_id=central_doc_viewer&amp;center_on_screen=true&amp;width=950&amp;height=800&amp;_dd2=%26f%3Dsld%26c%3Dtrue%26os%3D121828%26oe%3D121836" TargetMode="External"/><Relationship Id="rId105" Type="http://schemas.openxmlformats.org/officeDocument/2006/relationships/hyperlink" Target="fdsup://factset/Doc%20Viewer%20Single?float_window=true&amp;positioning_strategy=center_on_screen&amp;_doc_docfn=U2FsdGVkX19H8gwOvmrZ/2NTb4nyYtZ3ETSu/Uwu+Sd9wgFHkPohRx2/gAHPqSDnW8rgn7I9tqFLsl/JTWtNdv5xseZrV8T7A3QOE1pJj4A=&amp;_app_id=central_doc_viewer&amp;center_on_screen=true&amp;width=950&amp;height=800&amp;_dd2=%26f%3Dsld%26c%3Dtrue%26os%3D148520%26oe%3D148526" TargetMode="External"/><Relationship Id="rId126" Type="http://schemas.openxmlformats.org/officeDocument/2006/relationships/hyperlink" Target="fdsup://factset/Doc%20Viewer%20Single?float_window=true&amp;positioning_strategy=center_on_screen&amp;_doc_docfn=U2FsdGVkX1/Ycilh/KabTcS3+BxZHQRf5ZqyLtKyPbHXUFtgZrY01fqdmnHgZizu8p8PduYqqeWnM+CaN+bcrp3JmHkOjbAgPmJOzihLPpM=&amp;_app_id=central_doc_viewer&amp;center_on_screen=true&amp;width=950&amp;height=800&amp;_dd2=%26f%3Dsld%26c%3Dtrue%26os%3D55794%26oe%3D55801" TargetMode="External"/><Relationship Id="rId147" Type="http://schemas.openxmlformats.org/officeDocument/2006/relationships/hyperlink" Target="fdsup://factset/Doc%20Viewer%20Single?float_window=true&amp;positioning_strategy=center_on_screen&amp;_doc_docfn=U2FsdGVkX1/Dv/ADuFKr5T2b11go+7UtGHI4nR6IxMrZD3MIVarOvdc1nXEG3yO1Ptn83HHKkp/JqHtpg9oQrZzhpaIIkygdOtStuUqjB4Y=&amp;_app_id=central_doc_viewer&amp;center_on_screen=true&amp;width=950&amp;height=800&amp;_dd2=%26f%3Dsld%26c%3Dtrue%26os%3D54815%26oe%3D54821" TargetMode="External"/><Relationship Id="rId168" Type="http://schemas.openxmlformats.org/officeDocument/2006/relationships/hyperlink" Target="fdsup://factset/Doc%20Viewer%20Single?float_window=true&amp;positioning_strategy=center_on_screen&amp;_doc_docfn=U2FsdGVkX19iXHFA+D4o4YLjpJKH3jssMt2fz9Ktx0kh/jpHjhPYZSMvCp1s7iEVGH/u2K+NiEOhmGFTqlZGt8Lrudowz/p/oPNjmpuAW0Q=&amp;_app_id=central_doc_viewer&amp;center_on_screen=true&amp;width=950&amp;height=800&amp;_dd2=%26f%3Dsld%26c%3Dtrue%26os%3D32524%26oe%3D32530" TargetMode="External"/><Relationship Id="rId312" Type="http://schemas.openxmlformats.org/officeDocument/2006/relationships/hyperlink" Target="fdsup://factset/Doc%20Viewer%20Single?float_window=true&amp;positioning_strategy=center_on_screen&amp;_doc_docfn=U2FsdGVkX18H10kI/Pg5QHiUavLBGP58aCzRuwz5uMPsMaAH0L1DntdgECFnzhw2nBT41TtCRKZhUya3KpZzMItzLtmU10wpK0HMQksrf4A=&amp;_app_id=central_doc_viewer&amp;center_on_screen=true&amp;width=950&amp;height=800&amp;_dd2=%26f%3Dsld%26c%3Dtrue%26os%3D72102%26oe%3D72109" TargetMode="External"/><Relationship Id="rId333" Type="http://schemas.openxmlformats.org/officeDocument/2006/relationships/hyperlink" Target="fdsup://factset/Doc%20Viewer%20Single?float_window=true&amp;positioning_strategy=center_on_screen&amp;_doc_docfn=U2FsdGVkX1/q3PfPgT/uyQQVxBYewP3e+VtteXmDlxhVJquGK1B7MjL6/X2Zy+X4rG4aJNqZuY88W+pX2pAKyiSWFwFYCxeu0xmz0eoLHWE=&amp;_app_id=central_doc_viewer&amp;center_on_screen=true&amp;width=950&amp;height=800&amp;_dd2=%26f%3Dsld%26c%3Dtrue%26os%3D61726%26oe%3D61731" TargetMode="External"/><Relationship Id="rId354" Type="http://schemas.openxmlformats.org/officeDocument/2006/relationships/hyperlink" Target="fdsup://factset/Doc%20Viewer%20Single?float_window=true&amp;positioning_strategy=center_on_screen&amp;_doc_docfn=U2FsdGVkX18ZJVv+iQ7hspu2/s7ioyH62L8eCJWgcNT3daSEBVqcAm8asuEmk6bWz3WgY7+k2hxXZ3zoV+lw91+JrqirFajoSAtbOrwUUgU=&amp;_app_id=central_doc_viewer&amp;center_on_screen=true&amp;width=950&amp;height=800&amp;_dd2=%26f%3Dsld%26c%3Dtrue%26os%3D75788%26oe%3D75795" TargetMode="External"/><Relationship Id="rId51" Type="http://schemas.openxmlformats.org/officeDocument/2006/relationships/hyperlink" Target="fdsup://factset/Doc%20Viewer%20Single?float_window=true&amp;positioning_strategy=center_on_screen&amp;_doc_docfn=U2FsdGVkX1/3YLQgRCTVxq/7QFS73vudriH4EQC9XKA12zZ4a92mlBfroRnTpf09UCpN9NQxORo6OOF+nkHqprKL+IUR5bpygi4gS+a8jwc=&amp;_app_id=central_doc_viewer&amp;center_on_screen=true&amp;width=950&amp;height=800&amp;_dd2=%26f%3Dsld%26c%3Dtrue%26os%3D154643%26oe%3D154649" TargetMode="External"/><Relationship Id="rId72" Type="http://schemas.openxmlformats.org/officeDocument/2006/relationships/hyperlink" Target="fdsup://factset/Doc%20Viewer%20Single?float_window=true&amp;positioning_strategy=center_on_screen&amp;_doc_docfn=U2FsdGVkX18SunAWIJh4ONkQKolSIPfnYwoZMy3yTWjm2P41Gom0OcC2BTMHQ4rLzvPOeMZkpnDR7EepQ6jiACQrQPM34rumgK3L1MTFqVg=&amp;_app_id=central_doc_viewer&amp;center_on_screen=true&amp;width=950&amp;height=800&amp;_dd2=%26f%3Dsld%26c%3Dtrue%26os%3D140513%26oe%3D140519" TargetMode="External"/><Relationship Id="rId93" Type="http://schemas.openxmlformats.org/officeDocument/2006/relationships/hyperlink" Target="fdsup://factset/Doc%20Viewer%20Single?float_window=true&amp;positioning_strategy=center_on_screen&amp;_doc_docfn=U2FsdGVkX19yYJX4EbyPIHD1MoK7DwvdJpCLUzJ/HuTLT631id/mwEgX+GHKvouWnoEVvivVUKJI/xCOeU5O+gtG7TBeNZ2Imlhdn29tPxA=&amp;_app_id=central_doc_viewer&amp;center_on_screen=true&amp;width=950&amp;height=800&amp;_dd2=%26f%3Dsld%26c%3Dtrue%26os%3D127195%26oe%3D127200" TargetMode="External"/><Relationship Id="rId189" Type="http://schemas.openxmlformats.org/officeDocument/2006/relationships/hyperlink" Target="fdsup://factset/Doc%20Viewer%20Single?float_window=true&amp;positioning_strategy=center_on_screen&amp;_doc_docfn=U2FsdGVkX1+ojSz4ui8zNB4oHd4nOl8Gt6IzN7iFno6wqrnOxAc8XB404DZ/N71zQHD3FPgrutFxoMCxQLJDBdJOLTECtQIKGVle5CVNcso=&amp;_app_id=central_doc_viewer&amp;center_on_screen=true&amp;width=950&amp;height=800&amp;_dd2=%26f%3Dsld%26c%3Dtrue%26os%3D74917%26oe%3D74928" TargetMode="External"/><Relationship Id="rId375" Type="http://schemas.openxmlformats.org/officeDocument/2006/relationships/hyperlink" Target="fdsup://factset/Doc%20Viewer%20Single?float_window=true&amp;positioning_strategy=center_on_screen&amp;_doc_docfn=U2FsdGVkX1+F7kKu09J0J171/NcLLiMMjAQGJivvrv76HeLF+9JVgXMckaZ1f8owAB0S8iqNnUGmr1IDEdkVBEa7ZOD7RxaBaaA3vQXwgDs=&amp;_app_id=central_doc_viewer&amp;center_on_screen=true&amp;width=950&amp;height=800&amp;_dd2=%26f%3Dsld%26c%3Dtrue%26os%3D64435%26oe%3D64437" TargetMode="External"/><Relationship Id="rId396" Type="http://schemas.openxmlformats.org/officeDocument/2006/relationships/hyperlink" Target="fdsup://factset/Doc%20Viewer%20Single?float_window=true&amp;positioning_strategy=center_on_screen&amp;_doc_docfn=U2FsdGVkX1++7BSqMenmZ52VBbvHjPzY/xGiJU/cmsb+H67+ITAGD3OJ5rrG7SGnOxCE/dNma/oHbsKTWu793z0YdILvoKANPJAzPgtucPU=&amp;_app_id=central_doc_viewer&amp;center_on_screen=true&amp;width=950&amp;height=800&amp;_dd2=%26f%3Dsld%26c%3Dtrue%26os%3D77541%26oe%3D77549" TargetMode="External"/><Relationship Id="rId3" Type="http://schemas.openxmlformats.org/officeDocument/2006/relationships/hyperlink" Target="fdsup://factset/Doc%20Viewer%20Single?float_window=true&amp;positioning_strategy=center_on_screen&amp;_doc_docfn=U2FsdGVkX1+A3ubwTCosBvV8SvLa8gkri3lB1CwCZs3iwfoT0ht1U4PmtlaD7h+Q1K1PJhQHQp9rT8UnUOMKXSLTmNHgrnkTeNNeWNxsbWM=&amp;_app_id=central_doc_viewer&amp;center_on_screen=true&amp;width=950&amp;height=800&amp;_dd2=%26f%3Dsld%26c%3Dtrue%26os%3D134265%26oe%3D134276" TargetMode="External"/><Relationship Id="rId214" Type="http://schemas.openxmlformats.org/officeDocument/2006/relationships/hyperlink" Target="fdsup://factset/Doc%20Viewer%20Single?float_window=true&amp;positioning_strategy=center_on_screen&amp;_doc_docfn=U2FsdGVkX18RzZ+eBxICNX/XpEBZZknU5JQNudolOU5TNNdKQDQ3986cukgeij1WlN8MSlUQCaITC4XLNoruIHi9XpI+mf1SYOPdMMxxT+Q=&amp;_app_id=central_doc_viewer&amp;center_on_screen=true&amp;width=950&amp;height=800&amp;_dd2=%26f%3Dsld%26c%3Dtrue%26os%3D66320%26oe%3D66329" TargetMode="External"/><Relationship Id="rId235" Type="http://schemas.openxmlformats.org/officeDocument/2006/relationships/hyperlink" Target="fdsup://factset/Doc%20Viewer%20Single?float_window=true&amp;positioning_strategy=center_on_screen&amp;_doc_docfn=U2FsdGVkX19XOPdwGx5K/8A3dtm4aFwBfqL8+Qvm8eLrc56AOG3hjLfgzqVIFmtKkE7RBXGlKEZIRjsi7INFmKvtXW4+FV5eLUgqYnJ1uh8=&amp;_app_id=central_doc_viewer&amp;center_on_screen=true&amp;width=950&amp;height=800&amp;_dd2=%26f%3Dsld%26c%3Dtrue%26os%3D62615%26oe%3D62621" TargetMode="External"/><Relationship Id="rId256" Type="http://schemas.openxmlformats.org/officeDocument/2006/relationships/hyperlink" Target="fdsup://factset/Doc%20Viewer%20Single?float_window=true&amp;positioning_strategy=center_on_screen&amp;_doc_docfn=U2FsdGVkX192njUTfySJIHx0usROU2SMmkEqqYEkJONNTiKVZU/oEWYtkT0GTz14vHRKHRsjNmmfxSQStqQjd7Rm3qYvJXJ4hEoA9Lt/6Uc=&amp;_app_id=central_doc_viewer&amp;center_on_screen=true&amp;width=950&amp;height=800&amp;_dd2=%26f%3Dsld%26c%3Dtrue%26os%3D67327%26oe%3D67328" TargetMode="External"/><Relationship Id="rId277" Type="http://schemas.openxmlformats.org/officeDocument/2006/relationships/hyperlink" Target="fdsup://factset/Doc%20Viewer%20Single?float_window=true&amp;positioning_strategy=center_on_screen&amp;_doc_docfn=U2FsdGVkX18MyeURSLIbZvfqXQvDLp0GHrZcU/UO72kOCAE7kxbahqgpYMdNuMXWjCHHPC4L2aNL/bSrN1JmZPeBgHj3t7NDiv2WHFgDFho=&amp;_app_id=central_doc_viewer&amp;center_on_screen=true&amp;width=950&amp;height=800&amp;_dd2=%26f%3Dsld%26c%3Dtrue%26os%3D91038%26oe%3D91050" TargetMode="External"/><Relationship Id="rId298" Type="http://schemas.openxmlformats.org/officeDocument/2006/relationships/hyperlink" Target="fdsup://factset/Doc%20Viewer%20Single?float_window=true&amp;positioning_strategy=center_on_screen&amp;_doc_docfn=U2FsdGVkX19hiAkbyqdv18s9DvcdqAjSmnLMwieuwfEPB49Q1HwZzS4md1Rdu/5hNSF7rbzTVudEqvyNFNTAPe9hsLisAAiFdCT3RYRd1Wk=&amp;_app_id=central_doc_viewer&amp;center_on_screen=true&amp;width=950&amp;height=800&amp;_dd2=%26f%3Dsld%26c%3Dtrue%26os%3D63189%26oe%3D63195" TargetMode="External"/><Relationship Id="rId116" Type="http://schemas.openxmlformats.org/officeDocument/2006/relationships/hyperlink" Target="fdsup://factset/Doc%20Viewer%20Single?float_window=true&amp;positioning_strategy=center_on_screen&amp;_doc_docfn=U2FsdGVkX18tQ1J+4MD08Dr7E32bRpRGr6GVTN0muCcD7TKyzPIMld4U7U2sbNGphvyCTPGa80aEQbOHw4mPf+A2uegYvb5CuP6gEpZ2Iho=&amp;_app_id=central_doc_viewer&amp;center_on_screen=true&amp;width=950&amp;height=800&amp;_dd2=%26f%3Dsld%26c%3Dtrue%26os%3D166628%26oe%3D166638" TargetMode="External"/><Relationship Id="rId137" Type="http://schemas.openxmlformats.org/officeDocument/2006/relationships/hyperlink" Target="fdsup://factset/Doc%20Viewer%20Single?float_window=true&amp;positioning_strategy=center_on_screen&amp;_doc_docfn=U2FsdGVkX1/qb2HLCvSDK06hxnAvwdv0XlSJofrZanMUWJC0nan9WnGig2+6vsS4C9flspfEOcEfq+kh7ll8nv7ybRQSflYshEodHePKUA8=&amp;_app_id=central_doc_viewer&amp;center_on_screen=true&amp;width=950&amp;height=800&amp;_dd2=%26f%3Dsld%26c%3Dtrue%26os%3D53814%26oe%3D53821" TargetMode="External"/><Relationship Id="rId158" Type="http://schemas.openxmlformats.org/officeDocument/2006/relationships/hyperlink" Target="fdsup://factset/Doc%20Viewer%20Single?float_window=true&amp;positioning_strategy=center_on_screen&amp;_doc_docfn=U2FsdGVkX1+q2wDeZWL8mkCOBeubiaRYZUybY4zzZBnGfZ7F6rYULa7ZqhdTg4eDjOMJBz52iUapLLZbfhntGHRvbmMVDhVVdV2CLguFWzY=&amp;_app_id=central_doc_viewer&amp;center_on_screen=true&amp;width=950&amp;height=800&amp;_dd2=%26f%3Dsld%26c%3Dtrue%26os%3D66995%26oe%3D67002" TargetMode="External"/><Relationship Id="rId302" Type="http://schemas.openxmlformats.org/officeDocument/2006/relationships/hyperlink" Target="fdsup://factset/Doc%20Viewer%20Single?float_window=true&amp;positioning_strategy=center_on_screen&amp;_doc_docfn=U2FsdGVkX18Hg0GlJ3d8yDYyC4lDD+iExMHnq5N9E6oJ6zeNZ3IQWN3HknWgRjbQvzLeir5eU5BbrIZlDHfi2THQJ625vAFNEbUqQYqcdUY=&amp;_app_id=central_doc_viewer&amp;center_on_screen=true&amp;width=950&amp;height=800&amp;_dd2=%26f%3Dsld%26c%3Dtrue%26os%3D65097%26oe%3D65102" TargetMode="External"/><Relationship Id="rId323" Type="http://schemas.openxmlformats.org/officeDocument/2006/relationships/hyperlink" Target="fdsup://factset/Doc%20Viewer%20Single?float_window=true&amp;positioning_strategy=center_on_screen&amp;_doc_docfn=U2FsdGVkX1+RpGP4PDY1uL9R/oaqPLwh9D0BDJklW4T5prOWQXPzCp2mw6fSRNUt6A86dR3I9rIg6qjP5qtF8/0e4PjMBRpOkS36PvvbvtQ=&amp;_app_id=central_doc_viewer&amp;center_on_screen=true&amp;width=950&amp;height=800&amp;_dd2=%26f%3Dsld%26c%3Dtrue%26os%3D79116%26oe%3D79124" TargetMode="External"/><Relationship Id="rId344" Type="http://schemas.openxmlformats.org/officeDocument/2006/relationships/hyperlink" Target="fdsup://factset/Doc%20Viewer%20Single?float_window=true&amp;positioning_strategy=center_on_screen&amp;_doc_docfn=U2FsdGVkX19q4cm3upKb8+ZOftPrtd++11vi6dCyIyAAkKwIwKOPdGa/m+ndFlRpZDQ0xlR719UYOisTwg01pdRzYPS5avWQ7cL+p3iZ07E=&amp;_app_id=central_doc_viewer&amp;center_on_screen=true&amp;width=950&amp;height=800&amp;_dd2=%26f%3Dsld%26c%3Dtrue%26os%3D66746%26oe%3D66753" TargetMode="External"/><Relationship Id="rId20" Type="http://schemas.openxmlformats.org/officeDocument/2006/relationships/hyperlink" Target="fdsup://factset/Doc%20Viewer%20Single?float_window=true&amp;positioning_strategy=center_on_screen&amp;_doc_docfn=U2FsdGVkX18rHQ2bnH+JveNQIr55q2VQ9F9x+TCWFby4Dr+CNux9plo9oI23Os8mzvIwellG48b23779S6mO/Aw8hk0f+dOlB/T4pri8+R8=&amp;_app_id=central_doc_viewer&amp;center_on_screen=true&amp;width=950&amp;height=800&amp;_dd2=%26f%3Dsld%26c%3Dtrue%26os%3D135642%26oe%3D135649" TargetMode="External"/><Relationship Id="rId41" Type="http://schemas.openxmlformats.org/officeDocument/2006/relationships/hyperlink" Target="fdsup://factset/Doc%20Viewer%20Single?float_window=true&amp;positioning_strategy=center_on_screen&amp;_doc_docfn=U2FsdGVkX18eDVNVg4qxaeAW/Y4j6tQ1EQEDu5GHJNfxL4/sCTx0VIz3JucSTi/3yDR1FhPN4z6prRINjjLAoZ52acAW1jMs8oan7A6xSqs=&amp;_app_id=central_doc_viewer&amp;center_on_screen=true&amp;width=950&amp;height=800&amp;_dd2=%26f%3Dsld%26c%3Dtrue%26os%3D120810%26oe%3D120815" TargetMode="External"/><Relationship Id="rId62" Type="http://schemas.openxmlformats.org/officeDocument/2006/relationships/hyperlink" Target="fdsup://factset/Doc%20Viewer%20Single?float_window=true&amp;positioning_strategy=center_on_screen&amp;_doc_docfn=U2FsdGVkX18K47CvXz7tP7oJXnNzbbeRQHNFtdnAc7urgMy12DC5Dtn5AWvUlTX+9OUsu5mWxnraAWq1tmx1MzM4ryGfmpZyWCTJYfPpYfY=&amp;_app_id=central_doc_viewer&amp;center_on_screen=true&amp;width=950&amp;height=800&amp;_dd2=%26f%3Dsld%26c%3Dtrue%26os%3D73042%26oe%3D73049" TargetMode="External"/><Relationship Id="rId83" Type="http://schemas.openxmlformats.org/officeDocument/2006/relationships/hyperlink" Target="fdsup://factset/Doc%20Viewer%20Single?float_window=true&amp;positioning_strategy=center_on_screen&amp;_doc_docfn=U2FsdGVkX1+E+OlDuuO0sFtYSVlghECHMVi92wzejQwapDfIknC5AAcSZ2OB2M384YUZaOBYX9qAXZ+HCM2WG345EddtgR2eUHgoXVCzHPg=&amp;_app_id=central_doc_viewer&amp;center_on_screen=true&amp;width=950&amp;height=800&amp;_dd2=%26f%3Dsld%26c%3Dtrue%26os%3D141713%26oe%3D141718" TargetMode="External"/><Relationship Id="rId179" Type="http://schemas.openxmlformats.org/officeDocument/2006/relationships/hyperlink" Target="fdsup://factset/Doc%20Viewer%20Single?float_window=true&amp;positioning_strategy=center_on_screen&amp;_doc_docfn=U2FsdGVkX1/bRdnHbo0j6f+PXexalnsTZEI2gWFDAhsOfaO2O790daXi0YSPFTLTbm7BRYPl5uim0SoyekSGBxjDwXf9gkMNUmBQoJq72KU=&amp;_app_id=central_doc_viewer&amp;center_on_screen=true&amp;width=950&amp;height=800&amp;_dd2=%26f%3Dsld%26c%3Dtrue%26os%3D63582%26oe%3D63583" TargetMode="External"/><Relationship Id="rId365" Type="http://schemas.openxmlformats.org/officeDocument/2006/relationships/hyperlink" Target="fdsup://factset/Doc%20Viewer%20Single?float_window=true&amp;positioning_strategy=center_on_screen&amp;_doc_docfn=U2FsdGVkX1976OP1gb6DWGW2MARZEP7eXtrQ8Tirldkn2fhEKxg5fASAMWGsokfqhYIn+bhZ5IvyVphEBTd+4jv1z3zKJg+N4jscTc4BYr0=&amp;_app_id=central_doc_viewer&amp;center_on_screen=true&amp;width=950&amp;height=800&amp;_dd2=%26f%3Dsld%26c%3Dtrue%26os%3D59002%26oe%3D59010" TargetMode="External"/><Relationship Id="rId386" Type="http://schemas.openxmlformats.org/officeDocument/2006/relationships/hyperlink" Target="fdsup://factset/Doc%20Viewer%20Single?float_window=true&amp;positioning_strategy=center_on_screen&amp;_doc_docfn=U2FsdGVkX1868QUi63bUfJGh/r7LUrR7kY5hMb6841SxvajLJha1LwdLWqa7av6/odaalle4WEf83ZWuo0yo4qqIL7kcTpykSvAcqbVzI0A=&amp;_app_id=central_doc_viewer&amp;center_on_screen=true&amp;width=950&amp;height=800&amp;_dd2=%26f%3Dsld%26c%3Dtrue%26os%3D71927%26oe%3D71934" TargetMode="External"/><Relationship Id="rId190" Type="http://schemas.openxmlformats.org/officeDocument/2006/relationships/hyperlink" Target="fdsup://factset/Doc%20Viewer%20Single?float_window=true&amp;positioning_strategy=center_on_screen&amp;_doc_docfn=U2FsdGVkX1/iWa/swnwmlxh/u1BZvsqHDJ1ev/40lm6mlFKlQK0KohC8wJTfIf85BtkHq58BOKu8QfP5VzBuhmrcPnksUhmR3A3Wmsp3ws8=&amp;_app_id=central_doc_viewer&amp;center_on_screen=true&amp;width=950&amp;height=800&amp;_dd2=%26f%3Dsld%26c%3Dtrue%26os%3D70371%26oe%3D70378" TargetMode="External"/><Relationship Id="rId204" Type="http://schemas.openxmlformats.org/officeDocument/2006/relationships/hyperlink" Target="fdsup://factset/Doc%20Viewer%20Single?float_window=true&amp;positioning_strategy=center_on_screen&amp;_doc_docfn=U2FsdGVkX1+VcfFc7NfimDcGQ7qTR6k9oFkSpLsf2FWwFrZtLOhCOr1XEp6bjjU2dkglyiqQXLK6adoGr/JlvbQF9ix/WPnNHZ5EEnaQzPo=&amp;_app_id=central_doc_viewer&amp;center_on_screen=true&amp;width=950&amp;height=800&amp;_dd2=%26f%3Dsld%26c%3Dtrue%26os%3D65232%26oe%3D65242" TargetMode="External"/><Relationship Id="rId225" Type="http://schemas.openxmlformats.org/officeDocument/2006/relationships/hyperlink" Target="fdsup://factset/Doc%20Viewer%20Single?float_window=true&amp;positioning_strategy=center_on_screen&amp;_doc_docfn=U2FsdGVkX1+ebHnDRM5OE2agplZSUvBTzbUJBU/JvOp1fQkYOwgHdp5YYFFINl2IHHWR7G3XVreOEdolijTNua/+r7oO5hveVHSufUaTFNU=&amp;_app_id=central_doc_viewer&amp;center_on_screen=true&amp;width=950&amp;height=800&amp;_dd2=%26f%3Dsld%26c%3Dtrue%26os%3D61384%26oe%3D61390" TargetMode="External"/><Relationship Id="rId246" Type="http://schemas.openxmlformats.org/officeDocument/2006/relationships/hyperlink" Target="fdsup://factset/Doc%20Viewer%20Single?float_window=true&amp;positioning_strategy=center_on_screen&amp;_doc_docfn=U2FsdGVkX1/2DP6Oku467sU4DYycTnvH5N4gf0fX27W20q5APqp2slNxC55k38gj83VX7uCBsZnHwfYo84EX4J4d2gn8KX/6qJzgskTv5iU=&amp;_app_id=central_doc_viewer&amp;center_on_screen=true&amp;width=950&amp;height=800&amp;_dd2=%26f%3Dsld%26c%3Dtrue%26os%3D65174%26oe%3D65179" TargetMode="External"/><Relationship Id="rId267" Type="http://schemas.openxmlformats.org/officeDocument/2006/relationships/hyperlink" Target="fdsup://factset/Doc%20Viewer%20Single?float_window=true&amp;positioning_strategy=center_on_screen&amp;_doc_docfn=U2FsdGVkX1+yqec+BLrNJBR+SEmolcu2AAEm6/7RyBcGB2ATUaTRTirntIznTbC5gcWmhvxbU/cyyLtUj0lNSBB07cPCnDh6ps5qPFSSQsE=&amp;_app_id=central_doc_viewer&amp;center_on_screen=true&amp;width=950&amp;height=800&amp;_dd2=%26f%3Dsld%26c%3Dtrue%26os%3D72268%26oe%3D72270" TargetMode="External"/><Relationship Id="rId288" Type="http://schemas.openxmlformats.org/officeDocument/2006/relationships/hyperlink" Target="fdsup://factset/Doc%20Viewer%20Single?float_window=true&amp;positioning_strategy=center_on_screen&amp;_doc_docfn=U2FsdGVkX1/2Zqfc3lUouGNlpj4fHyoSsPexIl56WYMCUTHMoXA/a8swh5ywJGcf3rWZihiws8BPJuSV3MW/UADYApYk4LZms5XHSk782iY=&amp;_app_id=central_doc_viewer&amp;center_on_screen=true&amp;width=950&amp;height=800&amp;_dd2=%26f%3Dsld%26c%3Dtrue%26os%3D43810%26oe%3D43816" TargetMode="External"/><Relationship Id="rId106" Type="http://schemas.openxmlformats.org/officeDocument/2006/relationships/hyperlink" Target="fdsup://factset/Doc%20Viewer%20Single?float_window=true&amp;positioning_strategy=center_on_screen&amp;_doc_docfn=U2FsdGVkX1/oQhTZEHHnUCQ+gIWDNsRtnXpok5TIaFqfBuHQEvDKILAm3I0rYiBcElW4d93ZaC3ovml5nBwql9oZI5Glg1Rs3UhOE8jI/Ck=&amp;_app_id=central_doc_viewer&amp;center_on_screen=true&amp;width=950&amp;height=800&amp;_dd2=%26f%3Dsld%26c%3Dtrue%26os%3D148725%26oe%3D148731" TargetMode="External"/><Relationship Id="rId127" Type="http://schemas.openxmlformats.org/officeDocument/2006/relationships/hyperlink" Target="fdsup://factset/Doc%20Viewer%20Single?float_window=true&amp;positioning_strategy=center_on_screen&amp;_doc_docfn=U2FsdGVkX18ksL8zJ3ygtqmQtxBE42Hu9ohar68XuhvRaTR0qBNdPCDN3Rxd3zKOxaIjxXTpd5WZMGufzjjHg8ed1+o1KHOhCn3GiPtE2MY=&amp;_app_id=central_doc_viewer&amp;center_on_screen=true&amp;width=950&amp;height=800&amp;_dd2=%26f%3Dsld%26c%3Dtrue%26os%3D66490%26oe%3D66497" TargetMode="External"/><Relationship Id="rId313" Type="http://schemas.openxmlformats.org/officeDocument/2006/relationships/hyperlink" Target="fdsup://factset/Doc%20Viewer%20Single?float_window=true&amp;positioning_strategy=center_on_screen&amp;_doc_docfn=U2FsdGVkX1/GSKWQDrpCXGsw2xYxJWRadJ36mG7uyawLcFXVzwTPoalgW1Sl60InRIhx6MlOVyx8Y1UqEnO18ryQ0hHX3yVh9Lc53Y6WC58=&amp;_app_id=central_doc_viewer&amp;center_on_screen=true&amp;width=950&amp;height=800&amp;_dd2=%26f%3Dsld%26c%3Dtrue%26os%3D70100%26oe%3D70107" TargetMode="External"/><Relationship Id="rId10" Type="http://schemas.openxmlformats.org/officeDocument/2006/relationships/hyperlink" Target="fdsup://factset/Doc%20Viewer%20Single?float_window=true&amp;positioning_strategy=center_on_screen&amp;_doc_docfn=U2FsdGVkX19gEIBcmSMiKki5aSCWgtDHAs2r8mZxNJ/95eM3ifgoXRwhM0Njd2tDxZr7EDLoP20ROAx0nbDUUsNo62VeTpDUmXdf5fJOQsI=&amp;_app_id=central_doc_viewer&amp;center_on_screen=true&amp;width=950&amp;height=800&amp;_dd2=%26f%3Dsld%26c%3Dtrue%26os%3D134784%26oe%3D134793" TargetMode="External"/><Relationship Id="rId31" Type="http://schemas.openxmlformats.org/officeDocument/2006/relationships/hyperlink" Target="fdsup://factset/Doc%20Viewer%20Single?float_window=true&amp;positioning_strategy=center_on_screen&amp;_doc_docfn=U2FsdGVkX1+gMNa4N6a1eKLBhWAuIQlEwDkf6T8D5PwCVRFbXhDmzkLogaJeQAI2LJm6SaeIP0GLf8AD8hs/CgDDEIzPdA+35LsF9H59WNI=&amp;_app_id=central_doc_viewer&amp;center_on_screen=true&amp;width=950&amp;height=800&amp;_dd2=%26f%3Dsld%26c%3Dtrue%26os%3D119744%26oe%3D119752" TargetMode="External"/><Relationship Id="rId52" Type="http://schemas.openxmlformats.org/officeDocument/2006/relationships/hyperlink" Target="fdsup://factset/Doc%20Viewer%20Single?float_window=true&amp;positioning_strategy=center_on_screen&amp;_doc_docfn=U2FsdGVkX184nt8QyjaXqgJWUo3jj00nP/mtyewe4PyzpT4a6G3Wh9QOczTk1e70kQd2TQPgtackKDdzvswgr1cDzSEk9n0Ybm0g/Vo2hg0=&amp;_app_id=central_doc_viewer&amp;center_on_screen=true&amp;width=950&amp;height=800&amp;_dd2=%26f%3Dsld%26c%3Dtrue%26os%3D123280%26oe%3D123286" TargetMode="External"/><Relationship Id="rId73" Type="http://schemas.openxmlformats.org/officeDocument/2006/relationships/hyperlink" Target="fdsup://factset/Doc%20Viewer%20Single?float_window=true&amp;positioning_strategy=center_on_screen&amp;_doc_docfn=U2FsdGVkX1/9uhXfwcumtY+OiKeI6GSi3WX5CV7cqopN/ROfSXjBpnJ1cpDVkuzl3Nu8soZx2uH8JENAyJZYP1vgeBjM+AVv9JnyZMNBJjc=&amp;_app_id=central_doc_viewer&amp;center_on_screen=true&amp;width=950&amp;height=800&amp;_dd2=%26f%3Dsld%26c%3Dtrue%26os%3D140798%26oe%3D140804" TargetMode="External"/><Relationship Id="rId94" Type="http://schemas.openxmlformats.org/officeDocument/2006/relationships/hyperlink" Target="fdsup://factset/Doc%20Viewer%20Single?float_window=true&amp;positioning_strategy=center_on_screen&amp;_doc_docfn=U2FsdGVkX19zjyhd8GsOfpHeB9RjguJ+XJuQESSYdDTCnJidpkpBL43RwJd1HLeOR5oXFCmIc+KuScHFFxM5He8Lr95M9c1465h8Ta2eWHc=&amp;_app_id=central_doc_viewer&amp;center_on_screen=true&amp;width=950&amp;height=800&amp;_dd2=%26f%3Dsld%26c%3Dtrue%26os%3D124148%26oe%3D124153" TargetMode="External"/><Relationship Id="rId148" Type="http://schemas.openxmlformats.org/officeDocument/2006/relationships/hyperlink" Target="fdsup://factset/Doc%20Viewer%20Single?float_window=true&amp;positioning_strategy=center_on_screen&amp;_doc_docfn=U2FsdGVkX1+AHvKWSjRflsOUCL9P2s+kqPjNNbbFvxeo9KIDJxbXR/U+v8IX+woeRT/hWv45wJ1iNrXE51JxFpRtNy67EwV5j4nxSEOd9iQ=&amp;_app_id=central_doc_viewer&amp;center_on_screen=true&amp;width=950&amp;height=800&amp;_dd2=%26f%3Dsld%26c%3Dtrue%26os%3D65509%26oe%3D65515" TargetMode="External"/><Relationship Id="rId169" Type="http://schemas.openxmlformats.org/officeDocument/2006/relationships/hyperlink" Target="fdsup://factset/Doc%20Viewer%20Single?float_window=true&amp;positioning_strategy=center_on_screen&amp;_doc_docfn=U2FsdGVkX19E2GHHLWzCecjdnh1tZx4f+LezLQhAFsyefkZKw6KhbAug/p3XSM9Wh48EdUv7uNtlK9lGcFuJqLL7QQcL1AGLXQCy6C1xnpg=&amp;_app_id=central_doc_viewer&amp;center_on_screen=true&amp;width=950&amp;height=800&amp;_dd2=%26f%3Dsld%26c%3Dtrue%26os%3D62609%26oe%3D62618" TargetMode="External"/><Relationship Id="rId334" Type="http://schemas.openxmlformats.org/officeDocument/2006/relationships/hyperlink" Target="fdsup://factset/Doc%20Viewer%20Single?float_window=true&amp;positioning_strategy=center_on_screen&amp;_doc_docfn=U2FsdGVkX18KMoiyOaZACo90aplyWnXWCsFoN9qwxHlbWioxlNgAB32i5U7FF3kwAfYMB9zq8ZUT3Jaw8Knw5HBFPZTCiM8wfn3R7zYZcd8=&amp;_app_id=central_doc_viewer&amp;center_on_screen=true&amp;width=950&amp;height=800&amp;_dd2=%26f%3Dsld%26c%3Dtrue%26os%3D62691%26oe%3D62698" TargetMode="External"/><Relationship Id="rId355" Type="http://schemas.openxmlformats.org/officeDocument/2006/relationships/hyperlink" Target="fdsup://factset/Doc%20Viewer%20Single?float_window=true&amp;positioning_strategy=center_on_screen&amp;_doc_docfn=U2FsdGVkX19yC7qGdWUEEuCiYFsojVFUZgFLPLznVrsUK7f+V9gEUHWcmFQmtpDUCfb+xtSkFecmAGz+MDHiuKrFk2+PbniQ3Tncrpq3XEQ=&amp;_app_id=central_doc_viewer&amp;center_on_screen=true&amp;width=950&amp;height=800&amp;_dd2=%26f%3Dsld%26c%3Dtrue%26os%3D73783%26oe%3D73784" TargetMode="External"/><Relationship Id="rId376" Type="http://schemas.openxmlformats.org/officeDocument/2006/relationships/hyperlink" Target="fdsup://factset/Doc%20Viewer%20Single?float_window=true&amp;positioning_strategy=center_on_screen&amp;_doc_docfn=U2FsdGVkX185+mBdjiaizn0DhRgf4l7cL4Cl/WrVd/IerR/vVMKejonKGfhGGjFXbdTAae1mURsTpRK4DqoNDGG/wAcaFII/AiBLFOQDb50=&amp;_app_id=central_doc_viewer&amp;center_on_screen=true&amp;width=950&amp;height=800&amp;_dd2=%26f%3Dsld%26c%3Dtrue%26os%3D64911%26oe%3D64917" TargetMode="External"/><Relationship Id="rId397" Type="http://schemas.openxmlformats.org/officeDocument/2006/relationships/hyperlink" Target="fdsup://factset/Doc%20Viewer%20Single?float_window=true&amp;positioning_strategy=center_on_screen&amp;_doc_docfn=U2FsdGVkX1+tQPZkdxMjULbn+/b0R5j/+hUfFT2owj8kadvQaq/c8usWxbSUhPjo9Oeb/wJlejuGlHF/J6/QnBIYi994CE5rwIZf+B0HURw=&amp;_app_id=central_doc_viewer&amp;center_on_screen=true&amp;width=950&amp;height=800&amp;_dd2=%26f%3Dsld%26c%3Dtrue%26os%3D78947%26oe%3D78957" TargetMode="External"/><Relationship Id="rId4" Type="http://schemas.openxmlformats.org/officeDocument/2006/relationships/hyperlink" Target="fdsup://factset/Doc%20Viewer%20Single?float_window=true&amp;positioning_strategy=center_on_screen&amp;_doc_docfn=U2FsdGVkX1+Y1XSSlvB6WQZzP6H4IIsAuUPWiNU/rnZnw9vZgdqpmvOPrTgM2VEuLEb8Dj72MUzVXaf0/LHwQnmf/lUYMUfBs2xAUpFqrp4=&amp;_app_id=central_doc_viewer&amp;center_on_screen=true&amp;width=950&amp;height=800&amp;_dd2=%26f%3Dsld%26c%3Dtrue%26os%3D134246%26oe%3D134255" TargetMode="External"/><Relationship Id="rId180" Type="http://schemas.openxmlformats.org/officeDocument/2006/relationships/hyperlink" Target="fdsup://factset/Doc%20Viewer%20Single?float_window=true&amp;positioning_strategy=center_on_screen&amp;_doc_docfn=U2FsdGVkX19ZYDHD/XQjZsLf8f0nxe9dBxeuhZPq2YAY5qbbcudFpjke0fw+5BLwxERWTSS36M9A6frqs/vsKx9UicvsuEyG2lx9XXNi1vk=&amp;_app_id=central_doc_viewer&amp;center_on_screen=true&amp;width=950&amp;height=800&amp;_dd2=%26f%3Dsld%26c%3Dtrue%26os%3D64045%26oe%3D64054" TargetMode="External"/><Relationship Id="rId215" Type="http://schemas.openxmlformats.org/officeDocument/2006/relationships/hyperlink" Target="fdsup://factset/Doc%20Viewer%20Single?float_window=true&amp;positioning_strategy=center_on_screen&amp;_doc_docfn=U2FsdGVkX1+77k8mn3ntIxTRyTVnmD2zEHIqS+Sq2K/305i0x/jngZnE6PQ5CtXOYndGgh2PPuCCjbAGFgSjTRYGJ9txRbvMuzdLbgW/lMg=&amp;_app_id=central_doc_viewer&amp;center_on_screen=true&amp;width=950&amp;height=800&amp;_dd2=%26f%3Dsld%26c%3Dtrue%26os%3D61382%26oe%3D61387" TargetMode="External"/><Relationship Id="rId236" Type="http://schemas.openxmlformats.org/officeDocument/2006/relationships/hyperlink" Target="fdsup://factset/Doc%20Viewer%20Single?float_window=true&amp;positioning_strategy=center_on_screen&amp;_doc_docfn=U2FsdGVkX1+KihP2ckPyuiWhm1NMf/p9Leeesv285j5k/W5niUKOlFEbZlam2j0YmufGQUGc1c6hps8WiHnEJhwmBDShE8b8r3R5kT3+1jc=&amp;_app_id=central_doc_viewer&amp;center_on_screen=true&amp;width=950&amp;height=800&amp;_dd2=%26f%3Dsld%26c%3Dtrue%26os%3D38590%26oe%3D38596" TargetMode="External"/><Relationship Id="rId257" Type="http://schemas.openxmlformats.org/officeDocument/2006/relationships/hyperlink" Target="fdsup://factset/Doc%20Viewer%20Single?float_window=true&amp;positioning_strategy=center_on_screen&amp;_doc_docfn=U2FsdGVkX19MjmeDI93b9GhAJmfqRKgPmdU9w7/fYxT3j/wpYRY5ExzHR8KMohE506jOFWfPBx1+0EW7S7gly2hFrmdMq7lY6iclZdyb78U=&amp;_app_id=central_doc_viewer&amp;center_on_screen=true&amp;width=950&amp;height=800&amp;_dd2=%26f%3Dsld%26c%3Dtrue%26os%3D77971%26oe%3D77972" TargetMode="External"/><Relationship Id="rId278" Type="http://schemas.openxmlformats.org/officeDocument/2006/relationships/hyperlink" Target="fdsup://factset/Doc%20Viewer%20Single?float_window=true&amp;positioning_strategy=center_on_screen&amp;_doc_docfn=U2FsdGVkX19vRoZycjYmnUKi6eFohp8NVCjqv/vMLgbh5VnK6sDVLXMm3PqkDQdQbwVhFwNnMX84BAJH31s146n8sBjuwWyyw1HeYcqFV+g=&amp;_app_id=central_doc_viewer&amp;center_on_screen=true&amp;width=950&amp;height=800&amp;_dd2=%26f%3Dsld%26c%3Dtrue%26os%3D68341%26oe%3D68349" TargetMode="External"/><Relationship Id="rId303" Type="http://schemas.openxmlformats.org/officeDocument/2006/relationships/hyperlink" Target="fdsup://factset/Doc%20Viewer%20Single?float_window=true&amp;positioning_strategy=center_on_screen&amp;_doc_docfn=U2FsdGVkX18XjEhbbFhC1su/dGdGlfXwyQ2rOvlnOIjU917MeeHU4OJsl+kWhZPK06JnaBOugQZyT0eu7oCwMhB/yNP95AVFfo+1zEVcTvU=&amp;_app_id=central_doc_viewer&amp;center_on_screen=true&amp;width=950&amp;height=800&amp;_dd2=%26f%3Dsld%26c%3Dtrue%26os%3D65561%26oe%3D65567" TargetMode="External"/><Relationship Id="rId42" Type="http://schemas.openxmlformats.org/officeDocument/2006/relationships/hyperlink" Target="fdsup://factset/Doc%20Viewer%20Single?float_window=true&amp;positioning_strategy=center_on_screen&amp;_doc_docfn=U2FsdGVkX18QSId9iToZZAbzy7UylTTiqEUFH7Ei7x2Qy4PgJahTJ0sH5RpIne3KUtT4zJ5cya60cuQfgQSlkAKF8FoF5Dlox/vykQC28Aw=&amp;_app_id=central_doc_viewer&amp;center_on_screen=true&amp;width=950&amp;height=800&amp;_dd2=%26f%3Dsld%26c%3Dtrue%26os%3D71948%26oe%3D71953" TargetMode="External"/><Relationship Id="rId84" Type="http://schemas.openxmlformats.org/officeDocument/2006/relationships/hyperlink" Target="fdsup://factset/Doc%20Viewer%20Single?float_window=true&amp;positioning_strategy=center_on_screen&amp;_doc_docfn=U2FsdGVkX1/KpMrOxoI5s8lngMQbfm7zCKx3Lg2J51NmkcoTTIEDi/AG71fjDCmG9kZJG2GgW3jaZEeNGXf/Lgf7hq3xi/hN7fY8LXUCXxs=&amp;_app_id=central_doc_viewer&amp;center_on_screen=true&amp;width=950&amp;height=800&amp;_dd2=%26f%3Dsld%26c%3Dtrue%26os%3D157798%26oe%3D157804" TargetMode="External"/><Relationship Id="rId138" Type="http://schemas.openxmlformats.org/officeDocument/2006/relationships/hyperlink" Target="fdsup://factset/Doc%20Viewer%20Single?float_window=true&amp;positioning_strategy=center_on_screen&amp;_doc_docfn=U2FsdGVkX19rfjfWWjuHAEYlNxtPoD77rYcD6DOrFMBdks9Ju7/wdsbq2XN3koUX+4ZueyTdNgxOfnh9au4yAGYYOHx+FP4U+kugHJQPfvc=&amp;_app_id=central_doc_viewer&amp;center_on_screen=true&amp;width=950&amp;height=800&amp;_dd2=%26f%3Dsld%26c%3Dtrue%26os%3D64508%26oe%3D64515" TargetMode="External"/><Relationship Id="rId345" Type="http://schemas.openxmlformats.org/officeDocument/2006/relationships/hyperlink" Target="fdsup://factset/Doc%20Viewer%20Single?float_window=true&amp;positioning_strategy=center_on_screen&amp;_doc_docfn=U2FsdGVkX1850kvd+Fx753KJwiYmO90MpTzYkicfJ887JpNPhmy8JJZQqDv3nChxMciomrNdgMSf2r5CN0nqi7NCxusD4yE2BFu7UkjhoOU=&amp;_app_id=central_doc_viewer&amp;center_on_screen=true&amp;width=950&amp;height=800&amp;_dd2=%26f%3Dsld%26c%3Dtrue%26os%3D67307%26oe%3D67313" TargetMode="External"/><Relationship Id="rId387" Type="http://schemas.openxmlformats.org/officeDocument/2006/relationships/hyperlink" Target="fdsup://factset/Doc%20Viewer%20Single?float_window=true&amp;positioning_strategy=center_on_screen&amp;_doc_docfn=U2FsdGVkX1+zztJktpdxTP47UMKgkQXLI5J/TJV93rLvq7qQN7Zdr9WAxrsMd9liNG5c1k1BjPUChSdFV0gEXtp+MWC1QK3FZNGixgJLumM=&amp;_app_id=central_doc_viewer&amp;center_on_screen=true&amp;width=950&amp;height=800&amp;_dd2=%26f%3Dsld%26c%3Dtrue%26os%3D69924%26oe%3D69931" TargetMode="External"/><Relationship Id="rId191" Type="http://schemas.openxmlformats.org/officeDocument/2006/relationships/hyperlink" Target="fdsup://factset/Doc%20Viewer%20Single?float_window=true&amp;positioning_strategy=center_on_screen&amp;_doc_docfn=U2FsdGVkX187QoDGfyUumWZ8S4lta6wV77Yse9teIbRb0sphHbAEV8qx/yzxvwsew50IFV/rizX6YXmXz0OFFXUIeZJ7LlLAw5czye6iZg8=&amp;_app_id=central_doc_viewer&amp;center_on_screen=true&amp;width=950&amp;height=800&amp;_dd2=%26f%3Dsld%26c%3Dtrue%26os%3D80486%26oe%3D80493" TargetMode="External"/><Relationship Id="rId205" Type="http://schemas.openxmlformats.org/officeDocument/2006/relationships/hyperlink" Target="fdsup://factset/Doc%20Viewer%20Single?float_window=true&amp;positioning_strategy=center_on_screen&amp;_doc_docfn=U2FsdGVkX18luwhi29WT2TjM7I+Hn7zSqqiDN05J3HSzaW9idBiyGj/nZCsJVAdqWRph2YY4XxHdGYi/UUT75ZZRxZA0KKUZ+FMTsBiP3xs=&amp;_app_id=central_doc_viewer&amp;center_on_screen=true&amp;width=950&amp;height=800&amp;_dd2=%26f%3Dsld%26c%3Dtrue%26os%3D60310%26oe%3D60316" TargetMode="External"/><Relationship Id="rId247" Type="http://schemas.openxmlformats.org/officeDocument/2006/relationships/hyperlink" Target="fdsup://factset/Doc%20Viewer%20Single?float_window=true&amp;positioning_strategy=center_on_screen&amp;_doc_docfn=U2FsdGVkX1+BE1FHGqdXj4yBvn2XKkpNsrVJF8oQ5c31fPP7mQXzoeP09ZlVvRoztwq0Ru+VuviBgcf6RGs+cSu2FZOmmLMyQp92OEzm7KM=&amp;_app_id=central_doc_viewer&amp;center_on_screen=true&amp;width=950&amp;height=800&amp;_dd2=%26f%3Dsld%26c%3Dtrue%26os%3D75820%26oe%3D75825" TargetMode="External"/><Relationship Id="rId107" Type="http://schemas.openxmlformats.org/officeDocument/2006/relationships/hyperlink" Target="fdsup://factset/Doc%20Viewer%20Single?float_window=true&amp;positioning_strategy=center_on_screen&amp;_doc_docfn=U2FsdGVkX19p5pO+ltG9JNYQcGUbizHX4L5BrlfUbf5aAWNVP5KMiV1qCOdA2oLTkJW1V3/CruHMMKWp/FR0pZYeng1tMleokiPNz5sIy5M=&amp;_app_id=central_doc_viewer&amp;center_on_screen=true&amp;width=950&amp;height=800&amp;_dd2=%26f%3Dsld%26c%3Dtrue%26os%3D148627%26oe%3D148633" TargetMode="External"/><Relationship Id="rId289" Type="http://schemas.openxmlformats.org/officeDocument/2006/relationships/hyperlink" Target="fdsup://factset/Doc%20Viewer%20Single?float_window=true&amp;positioning_strategy=center_on_screen&amp;_doc_docfn=U2FsdGVkX1/LuqHClgKKyrFuhlwXdYwNg7xNju01BL8jgiomzdF4nQRMME+w/Ne4NRuhOFehh+xvDsasV7Qt/d6CP1UDBZ22Estp+4Dx8DI=&amp;_app_id=central_doc_viewer&amp;center_on_screen=true&amp;width=950&amp;height=800&amp;_dd2=%26f%3Dsld%26c%3Dtrue%26os%3D66004%26oe%3D66013" TargetMode="External"/><Relationship Id="rId11" Type="http://schemas.openxmlformats.org/officeDocument/2006/relationships/hyperlink" Target="fdsup://factset/Doc%20Viewer%20Single?float_window=true&amp;positioning_strategy=center_on_screen&amp;_doc_docfn=U2FsdGVkX1+1alrlBGYqO9RdVJbYbxtT8EqILjNTqTUIJkKEb891pLEq4fhfU/ixSo1Lf0gOmRYtuiBubyi1oQRscKH7DN1QbdcZNrOW474=&amp;_app_id=central_doc_viewer&amp;center_on_screen=true&amp;width=950&amp;height=800&amp;_dd2=%26f%3Dsld%26c%3Dtrue%26os%3D134993%26oe%3D135002" TargetMode="External"/><Relationship Id="rId53" Type="http://schemas.openxmlformats.org/officeDocument/2006/relationships/hyperlink" Target="fdsup://factset/Doc%20Viewer%20Single?float_window=true&amp;positioning_strategy=center_on_screen&amp;_doc_docfn=U2FsdGVkX1/WS/nkSoZq6DTpk3fuRCZjyT6jhsnzH0aPcETArJo6N4K6Z843vwmEOIMot8DFuUuNgVxDKctuiB5p89OWwnws5GYF0h0/MBA=&amp;_app_id=central_doc_viewer&amp;center_on_screen=true&amp;width=950&amp;height=800&amp;_dd2=%26f%3Dsld%26c%3Dtrue%26os%3D121305%26oe%3D121311" TargetMode="External"/><Relationship Id="rId149" Type="http://schemas.openxmlformats.org/officeDocument/2006/relationships/hyperlink" Target="fdsup://factset/Doc%20Viewer%20Single?float_window=true&amp;positioning_strategy=center_on_screen&amp;_doc_docfn=U2FsdGVkX1+mI3m0P4kmJIdCWEOHixeJtYec31KvUuZWt1xjgDMJrzlw+qV+3mczxgN9KhPSCtva836EICniq/Mvgqhxo0IL9CfzWsRywKg=&amp;_app_id=central_doc_viewer&amp;center_on_screen=true&amp;width=950&amp;height=800&amp;_dd2=%26f%3Dsld%26c%3Dtrue%26os%3D54797%26oe%3D54803" TargetMode="External"/><Relationship Id="rId314" Type="http://schemas.openxmlformats.org/officeDocument/2006/relationships/hyperlink" Target="fdsup://factset/Doc%20Viewer%20Single?float_window=true&amp;positioning_strategy=center_on_screen&amp;_doc_docfn=U2FsdGVkX18/Nh98KWOcH9glf+5MOHxH2ntZTONaox4obJkf7Cgy7zf5ACFuNNtwgoBeE7FaclbH/CR6sJgUgpPSIAvuglCsDCj3o/pGT1Q=&amp;_app_id=central_doc_viewer&amp;center_on_screen=true&amp;width=950&amp;height=800&amp;_dd2=%26f%3Dsld%26c%3Dtrue%26os%3D70629%26oe%3D70635" TargetMode="External"/><Relationship Id="rId356" Type="http://schemas.openxmlformats.org/officeDocument/2006/relationships/hyperlink" Target="fdsup://factset/Doc%20Viewer%20Single?float_window=true&amp;positioning_strategy=center_on_screen&amp;_doc_docfn=U2FsdGVkX1+klDzq4enpE98U4/fLf87CmFUcINQUrwK3y4/6NIaZ0Bj81bvBR35WvhOiDp1Fmj/s7vXUeGkbbvEmKszoYYutKFloKXplrhc=&amp;_app_id=central_doc_viewer&amp;center_on_screen=true&amp;width=950&amp;height=800&amp;_dd2=%26f%3Dsld%26c%3Dtrue%26os%3D77265%26oe%3D77267" TargetMode="External"/><Relationship Id="rId398" Type="http://schemas.openxmlformats.org/officeDocument/2006/relationships/hyperlink" Target="fdsup://factset/Doc%20Viewer%20Single?float_window=true&amp;positioning_strategy=center_on_screen&amp;_doc_docfn=U2FsdGVkX18C155YbDhZZZkCZedCT4V02fRdmNsR+gGTjQ6ov1mqUgFZjdriT3eH/7x7YHx8jb1+EyMOokXi54sKuOkrX5QUYGu4cWOTtj4=&amp;_app_id=central_doc_viewer&amp;center_on_screen=true&amp;width=950&amp;height=800&amp;_dd2=%26f%3Dsld%26c%3Dtrue%26os%3D74602%26oe%3D74607" TargetMode="External"/><Relationship Id="rId95" Type="http://schemas.openxmlformats.org/officeDocument/2006/relationships/hyperlink" Target="fdsup://factset/Doc%20Viewer%20Single?float_window=true&amp;positioning_strategy=center_on_screen&amp;_doc_docfn=U2FsdGVkX1//TnHwORQu1REqNQ9bES1G7GIuzHrdgoGzVj/PpNdVUZxkmtZRS+ybR9VyuO9/6z9SCN/0qhqzcUIR+KdSOHxFj3k8GfaPgm4=&amp;_app_id=central_doc_viewer&amp;center_on_screen=true&amp;width=950&amp;height=800&amp;_dd2=%26f%3Dsld%26c%3Dtrue%26os%3D76091%26oe%3D76092" TargetMode="External"/><Relationship Id="rId160" Type="http://schemas.openxmlformats.org/officeDocument/2006/relationships/hyperlink" Target="fdsup://factset/Doc%20Viewer%20Single?float_window=true&amp;positioning_strategy=center_on_screen&amp;_doc_docfn=U2FsdGVkX18REktauPlq2AnxjJiRXX4AIXjKS7rZyuWdPldL+gPoOPuivPzfOlCTGRPPuhW7JUY1ShqRWEEOFYtQJJoGdgm/T5D7WR4QLcc=&amp;_app_id=central_doc_viewer&amp;center_on_screen=true&amp;width=950&amp;height=800&amp;_dd2=%26f%3Dsld%26c%3Dtrue%26os%3D32077%26oe%3D32084" TargetMode="External"/><Relationship Id="rId216" Type="http://schemas.openxmlformats.org/officeDocument/2006/relationships/hyperlink" Target="fdsup://factset/Doc%20Viewer%20Single?float_window=true&amp;positioning_strategy=center_on_screen&amp;_doc_docfn=U2FsdGVkX19UtL6bcIYNdqdJrpL8j8+re5To+DUgBXkVf1gJpCNH4sVvKa3cbdqjQ7gvlbalTmfKAQMfm8Y3KF7jEwi8hDVzN/RTtSowV7Q=&amp;_app_id=central_doc_viewer&amp;center_on_screen=true&amp;width=950&amp;height=800&amp;_dd2=%26f%3Dsld%26c%3Dtrue%26os%3D72072%26oe%3D72073" TargetMode="External"/><Relationship Id="rId258" Type="http://schemas.openxmlformats.org/officeDocument/2006/relationships/hyperlink" Target="fdsup://factset/Doc%20Viewer%20Single?float_window=true&amp;positioning_strategy=center_on_screen&amp;_doc_docfn=U2FsdGVkX1/Qqo8EoQoQCkalAcdxVrzA0rNy0qjkVkrtt+8FOaTK7Uxi55p/7xyVoMV+h1IAxGNUtFB2ixwZO+wQATvm4qcKbpbw6QzHoW4=&amp;_app_id=central_doc_viewer&amp;center_on_screen=true&amp;width=950&amp;height=800&amp;_dd2=%26f%3Dsld%26c%3Dtrue%26os%3D65748%26oe%3D65749" TargetMode="External"/><Relationship Id="rId22" Type="http://schemas.openxmlformats.org/officeDocument/2006/relationships/hyperlink" Target="fdsup://factset/Doc%20Viewer%20Single?float_window=true&amp;positioning_strategy=center_on_screen&amp;_doc_docfn=U2FsdGVkX19aXjFT09xDdjTokI8OWz/ARtQWAR7fkrz0e0P+F9OuZeVTISyGUMa0kyLqAy4W70PwSBVKqIXcaLkp3BMBXk8SWAcEssPcMR0=&amp;_app_id=central_doc_viewer&amp;center_on_screen=true&amp;width=950&amp;height=800&amp;_dd2=%26f%3Dsld%26c%3Dtrue%26os%3D121076%26oe%3D121083" TargetMode="External"/><Relationship Id="rId64" Type="http://schemas.openxmlformats.org/officeDocument/2006/relationships/hyperlink" Target="fdsup://factset/Doc%20Viewer%20Single?float_window=true&amp;positioning_strategy=center_on_screen&amp;_doc_docfn=U2FsdGVkX1/y1tKsm3rYnFb4mOCW8lQ6Ot0eHKP4CXWT7TCUxctHQNUCeZmUY1gAIi8DaN2vIBCM8E+U9UdihbZ+9WNW42I3QuIZLymId2o=&amp;_app_id=central_doc_viewer&amp;center_on_screen=true&amp;width=950&amp;height=800&amp;_dd2=%26f%3Dsld%26c%3Dtrue%26os%3D139652%26oe%3D139656" TargetMode="External"/><Relationship Id="rId118" Type="http://schemas.openxmlformats.org/officeDocument/2006/relationships/hyperlink" Target="fdsup://factset/Doc%20Viewer%20Single?float_window=true&amp;positioning_strategy=center_on_screen&amp;_doc_docfn=U2FsdGVkX1//Tb/14eakhmvCNx9HPucN7mbxD0uGFttytlprSPSjHu51fUM3lX/OOy2kYEmelfOrJsTdLC6Rnp6dFejR0wMVg5CNzMTyzrg=&amp;_app_id=central_doc_viewer&amp;center_on_screen=true&amp;width=950&amp;height=800&amp;_dd2=%26f%3Dsld%26c%3Dtrue%26os%3D127381%26oe%3D127391" TargetMode="External"/><Relationship Id="rId325" Type="http://schemas.openxmlformats.org/officeDocument/2006/relationships/hyperlink" Target="fdsup://factset/Doc%20Viewer%20Single?float_window=true&amp;positioning_strategy=center_on_screen&amp;_doc_docfn=U2FsdGVkX1/S1tXa2PRQaoRBUf0kudAj10Yyj8FdXUerW0+4A8wBn7rDcimXi7Y9bDLT3zgiZQD8qoFcAUgJAefTejLb/7+geOUwdosvifM=&amp;_app_id=central_doc_viewer&amp;center_on_screen=true&amp;width=950&amp;height=800&amp;_dd2=%26f%3Dsld%26c%3Dtrue%26os%3D75301%26oe%3D75308" TargetMode="External"/><Relationship Id="rId367" Type="http://schemas.openxmlformats.org/officeDocument/2006/relationships/hyperlink" Target="fdsup://factset/Doc%20Viewer%20Single?float_window=true&amp;positioning_strategy=center_on_screen&amp;_doc_docfn=U2FsdGVkX1+yghXuyWUg5a6okTuzhfEieh258bHksMZCpC5IUUeWLjaeDUNE+6dNalpxv78fgrBdsxMvrVrf/eL7BTTjE65iQYXCPrc/V9k=&amp;_app_id=central_doc_viewer&amp;center_on_screen=true&amp;width=950&amp;height=800&amp;_dd2=%26f%3Dsld%26c%3Dtrue%26os%3D59997%26oe%3D60004" TargetMode="External"/><Relationship Id="rId171" Type="http://schemas.openxmlformats.org/officeDocument/2006/relationships/hyperlink" Target="fdsup://factset/Doc%20Viewer%20Single?float_window=true&amp;positioning_strategy=center_on_screen&amp;_doc_docfn=U2FsdGVkX1/NQ7qEpLISpLRaGCy+VYcoTy3HdIO73udsVKPHZxXru5R25OlDk9JkuuJ+LFOVs7Txx9HlvOOSGf0dbj7YUYCHC7y2N+As/Sw=&amp;_app_id=central_doc_viewer&amp;center_on_screen=true&amp;width=950&amp;height=800&amp;_dd2=%26f%3Dsld%26c%3Dtrue%26os%3D68423%26oe%3D68428" TargetMode="External"/><Relationship Id="rId227" Type="http://schemas.openxmlformats.org/officeDocument/2006/relationships/hyperlink" Target="fdsup://factset/Doc%20Viewer%20Single?float_window=true&amp;positioning_strategy=center_on_screen&amp;_doc_docfn=U2FsdGVkX18Vn7WG2af9jbygpcglFxWunUNQ2L+Imh2Gzv8Okp6IqxzNzg+5HWQVm1WVYVnPnHj0Y5DGkCkOQAvjK3oRAgUpXvL59JMlXxE=&amp;_app_id=central_doc_viewer&amp;center_on_screen=true&amp;width=950&amp;height=800&amp;_dd2=%26f%3Dsld%26c%3Dtrue%26os%3D70665%26oe%3D70676" TargetMode="External"/><Relationship Id="rId269" Type="http://schemas.openxmlformats.org/officeDocument/2006/relationships/hyperlink" Target="fdsup://factset/Doc%20Viewer%20Single?float_window=true&amp;positioning_strategy=center_on_screen&amp;_doc_docfn=U2FsdGVkX19MK7lzTJUG/wNvWaJ32AGA4v0RIFn0GzO6HF8pxT7tjyJQ5HxBotOC4KCbzjFQfd8JHhVx8k7jQI6pPcFw0IkrwI/6RINN83c=&amp;_app_id=central_doc_viewer&amp;center_on_screen=true&amp;width=950&amp;height=800&amp;_dd2=%26f%3Dsld%26c%3Dtrue%26os%3D70614%26oe%3D70616" TargetMode="External"/><Relationship Id="rId33" Type="http://schemas.openxmlformats.org/officeDocument/2006/relationships/hyperlink" Target="fdsup://factset/Doc%20Viewer%20Single?float_window=true&amp;positioning_strategy=center_on_screen&amp;_doc_docfn=U2FsdGVkX18MAg+3DV1tEfyp8mhLXF+7TSnhjQJOHxMXZ34Qfiywh74xoFJe7mMttExNXPMDeKMTi+GThtrc7EhfOysDv9iNQcORRW8os1E=&amp;_app_id=central_doc_viewer&amp;center_on_screen=true&amp;width=950&amp;height=800&amp;_dd2=%26f%3Dsld%26c%3Dtrue%26os%3D120266%26oe%3D120272" TargetMode="External"/><Relationship Id="rId129" Type="http://schemas.openxmlformats.org/officeDocument/2006/relationships/hyperlink" Target="fdsup://factset/Doc%20Viewer%20Single?float_window=true&amp;positioning_strategy=center_on_screen&amp;_doc_docfn=U2FsdGVkX199dvF5pdxWiy7e96b1kcYm3WGvGnBG8tBZNUOhLy7YZ5SniOImiwamBAS1w4NOxTR7l06u/S+YzHhNYCODvCxHV607WAQmpTY=&amp;_app_id=central_doc_viewer&amp;center_on_screen=true&amp;width=950&amp;height=800&amp;_dd2=%26f%3Dsld%26c%3Dtrue%26os%3D31561%26oe%3D31568" TargetMode="External"/><Relationship Id="rId280" Type="http://schemas.openxmlformats.org/officeDocument/2006/relationships/hyperlink" Target="fdsup://factset/Doc%20Viewer%20Single?float_window=true&amp;positioning_strategy=center_on_screen&amp;_doc_docfn=U2FsdGVkX1/16KI7VnnbkbeRUBwYcvc8LbCJtwc5+GequaNLz9u0tJPoWaCBPp3tryuWaehJh5NOVaDLVbClD8dq4FQwHGcl6tGRUQ1pozg=&amp;_app_id=central_doc_viewer&amp;center_on_screen=true&amp;width=950&amp;height=800&amp;_dd2=%26f%3Dsld%26c%3Dtrue%26os%3D66762%26oe%3D66770" TargetMode="External"/><Relationship Id="rId336" Type="http://schemas.openxmlformats.org/officeDocument/2006/relationships/hyperlink" Target="fdsup://factset/Doc%20Viewer%20Single?float_window=true&amp;positioning_strategy=center_on_screen&amp;_doc_docfn=U2FsdGVkX19jgL4qlWncxqfMsyZsIMpSZh15N/riNSJgWxE55/AJfl2ZfAJ+27ai1Dm88OSmYMssKippEQUk/oLg2W3cNbEJIytI40ThW5E=&amp;_app_id=central_doc_viewer&amp;center_on_screen=true&amp;width=950&amp;height=800&amp;_dd2=%26f%3Dsld%26c%3Dtrue%26os%3D63634%26oe%3D63641" TargetMode="External"/><Relationship Id="rId75" Type="http://schemas.openxmlformats.org/officeDocument/2006/relationships/hyperlink" Target="fdsup://factset/Doc%20Viewer%20Single?float_window=true&amp;positioning_strategy=center_on_screen&amp;_doc_docfn=U2FsdGVkX18N5OqoheCvAzNwHXvVNtIqHwmGpLoLBZJbAniCD+JAV4AiycdlEHX+VO5B4RN1ZfSzKX9UWz1CzWP4ic+kJuyhTCZTxq3CKas=&amp;_app_id=central_doc_viewer&amp;center_on_screen=true&amp;width=950&amp;height=800&amp;_dd2=%26f%3Dsld%26c%3Dtrue%26os%3D141002%26oe%3D141008" TargetMode="External"/><Relationship Id="rId140" Type="http://schemas.openxmlformats.org/officeDocument/2006/relationships/hyperlink" Target="fdsup://factset/Doc%20Viewer%20Single?float_window=true&amp;positioning_strategy=center_on_screen&amp;_doc_docfn=U2FsdGVkX19DP0yhxV6KaGhwfJ9rJMlw0z4NrmyeBGZQIcV5wPUtznQLZ+g8SRWNG3fKbd3troOMMcFFFxO5SINg1qwU8vmNbB639ddCwJE=&amp;_app_id=central_doc_viewer&amp;center_on_screen=true&amp;width=950&amp;height=800&amp;_dd2=%26f%3Dsld%26c%3Dtrue%26os%3D29429%26oe%3D29436" TargetMode="External"/><Relationship Id="rId182" Type="http://schemas.openxmlformats.org/officeDocument/2006/relationships/hyperlink" Target="fdsup://factset/Doc%20Viewer%20Single?float_window=true&amp;positioning_strategy=center_on_screen&amp;_doc_docfn=U2FsdGVkX19lgSbQOcMXol/H5S6VHg4C7tkAfYP34l0pLHtp5+Z3yfIYfS78SbHGQyWfwaBpTagj7d8JMrWoJfxGzzo73t30USrdhlgO5t4=&amp;_app_id=central_doc_viewer&amp;center_on_screen=true&amp;width=950&amp;height=800&amp;_dd2=%26f%3Dsld%26c%3Dtrue%26os%3D69358%26oe%3D69363" TargetMode="External"/><Relationship Id="rId378" Type="http://schemas.openxmlformats.org/officeDocument/2006/relationships/hyperlink" Target="fdsup://factset/Doc%20Viewer%20Single?float_window=true&amp;positioning_strategy=center_on_screen&amp;_doc_docfn=U2FsdGVkX18QlWaHr4gUhVV8pntkqOa1VVMMKDD8vej+zzD+xHeOWZwf4SQ+SEX80mPnXqGkUrmfLGK+ejXkEq+tZBYvg0tVPtxDEHOUH6o=&amp;_app_id=central_doc_viewer&amp;center_on_screen=true&amp;width=950&amp;height=800&amp;_dd2=%26f%3Dsld%26c%3Dtrue%26os%3D76114%26oe%3D76123" TargetMode="External"/><Relationship Id="rId6" Type="http://schemas.openxmlformats.org/officeDocument/2006/relationships/hyperlink" Target="fdsup://factset/Doc%20Viewer%20Single?float_window=true&amp;positioning_strategy=center_on_screen&amp;_doc_docfn=U2FsdGVkX19XnUQCq50lzOsRM+0t+TqMhYr/IhZysn/4Z9X0i9gttLgyuXPYGntlOhYDzJFh7MF+wG09P4HKumXho5EPQ1NDJYKuy4XKq2w=&amp;_app_id=central_doc_viewer&amp;center_on_screen=true&amp;width=950&amp;height=800&amp;_dd2=%26f%3Dsld%26c%3Dtrue%26os%3D119686%26oe%3D119695" TargetMode="External"/><Relationship Id="rId238" Type="http://schemas.openxmlformats.org/officeDocument/2006/relationships/hyperlink" Target="fdsup://factset/Doc%20Viewer%20Single?float_window=true&amp;positioning_strategy=center_on_screen&amp;_doc_docfn=U2FsdGVkX19fCwswv7UhqbuQu+MLomVGVKSHmfBt5+iBNCPBQ9KzJf5QzqAWOqPGrzGUSa2oP/hsxg6KHZMY1Cpho318FxJbjtdjNbLcw+o=&amp;_app_id=central_doc_viewer&amp;center_on_screen=true&amp;width=950&amp;height=800&amp;_dd2=%26f%3Dsld%26c%3Dtrue%26os%3D64187%26oe%3D64192" TargetMode="External"/><Relationship Id="rId291" Type="http://schemas.openxmlformats.org/officeDocument/2006/relationships/hyperlink" Target="fdsup://factset/Doc%20Viewer%20Single?float_window=true&amp;positioning_strategy=center_on_screen&amp;_doc_docfn=U2FsdGVkX18nlW4UCUPIzcyqePs9N7r/lTEoGNMzX+3jU2g+gTaOrcA7G5zx/IsYkbeSY1Dvl7BAIxzBPhBiVDjip1xQEg+2C27QZiakdDw=&amp;_app_id=central_doc_viewer&amp;center_on_screen=true&amp;width=950&amp;height=800&amp;_dd2=%26f%3Dsld%26c%3Dtrue%26os%3D59204%26oe%3D59210" TargetMode="External"/><Relationship Id="rId305" Type="http://schemas.openxmlformats.org/officeDocument/2006/relationships/hyperlink" Target="fdsup://factset/Doc%20Viewer%20Single?float_window=true&amp;positioning_strategy=center_on_screen&amp;_doc_docfn=U2FsdGVkX19ynBInJgq5cipTFpTrwPcHQ5DpA6CU2oBrJ3rPAG2glkBBoPg573BXtpi52Tq6rfpRXlAEDguGxW5Qe/F0GEoBnuxhag0iVc4=&amp;_app_id=central_doc_viewer&amp;center_on_screen=true&amp;width=950&amp;height=800&amp;_dd2=%26f%3Dsld%26c%3Dtrue%26os%3D72557%26oe%3D72564" TargetMode="External"/><Relationship Id="rId347" Type="http://schemas.openxmlformats.org/officeDocument/2006/relationships/hyperlink" Target="fdsup://factset/Doc%20Viewer%20Single?float_window=true&amp;positioning_strategy=center_on_screen&amp;_doc_docfn=U2FsdGVkX1/7otSehomX6qfj01JNCcffwlZLeWfrZ5nkxXxizCMHqy1LFzZLYt3iT4qr341ISmrucBnbzeJa3Db72QYn94r9UKTvOMoe5oc=&amp;_app_id=central_doc_viewer&amp;center_on_screen=true&amp;width=950&amp;height=800&amp;_dd2=%26f%3Dsld%26c%3Dtrue%26os%3D68305%26oe%3D68311" TargetMode="External"/><Relationship Id="rId44" Type="http://schemas.openxmlformats.org/officeDocument/2006/relationships/hyperlink" Target="fdsup://factset/Doc%20Viewer%20Single?float_window=true&amp;positioning_strategy=center_on_screen&amp;_doc_docfn=U2FsdGVkX1/CifRGMxZlYGCbdZABSRhZGb2vrJ40JfcT3oYMfUH2XvVt1XRu3gjx/z3a23BgL8fn21WDOMmR5hO8g8jI4pSyFYMNAAIT1y4=&amp;_app_id=central_doc_viewer&amp;center_on_screen=true&amp;width=950&amp;height=800&amp;_dd2=%26f%3Dsld%26c%3Dtrue%26os%3D137699%26oe%3D137704" TargetMode="External"/><Relationship Id="rId86" Type="http://schemas.openxmlformats.org/officeDocument/2006/relationships/hyperlink" Target="fdsup://factset/Doc%20Viewer%20Single?float_window=true&amp;positioning_strategy=center_on_screen&amp;_doc_docfn=U2FsdGVkX19eKYSnkMODhqB1nZ3OLYfE428+fx44vR2Kaf7dbrC1vpYlFBYSuyPIdkZCTuBCdXXnmiyvvXuUc4He5Z1FP5wz3RtVeuKOtEg=&amp;_app_id=central_doc_viewer&amp;center_on_screen=true&amp;width=950&amp;height=800&amp;_dd2=%26f%3Dsld%26c%3Dtrue%26os%3D123595%26oe%3D123601" TargetMode="External"/><Relationship Id="rId151" Type="http://schemas.openxmlformats.org/officeDocument/2006/relationships/hyperlink" Target="fdsup://factset/Doc%20Viewer%20Single?float_window=true&amp;positioning_strategy=center_on_screen&amp;_doc_docfn=U2FsdGVkX1/IKdPiR8xcW4DlYwQdoR/i0jpgwBBB0aPELNqamZVB3LYj2MULmNWghQ5VcH1tiBPF0bTeqH8t/4S58DCTBot6RqCGkAs7xps=&amp;_app_id=central_doc_viewer&amp;center_on_screen=true&amp;width=950&amp;height=800&amp;_dd2=%26f%3Dsld%26c%3Dtrue%26os%3D60160%26oe%3D60169" TargetMode="External"/><Relationship Id="rId389" Type="http://schemas.openxmlformats.org/officeDocument/2006/relationships/hyperlink" Target="fdsup://factset/Doc%20Viewer%20Single?float_window=true&amp;positioning_strategy=center_on_screen&amp;_doc_docfn=U2FsdGVkX19nupDluj48AhpakBe2TVmlcKK41sZYWU5ORyLbHpXAz/LzDrIKHA57UMSQYMBJOld3UD0YJIWgbHIsJLIR944TDqIHKgJxxKw=&amp;_app_id=central_doc_viewer&amp;center_on_screen=true&amp;width=950&amp;height=800&amp;_dd2=%26f%3Dsld%26c%3Dtrue%26os%3D70945%26oe%3D70951" TargetMode="External"/><Relationship Id="rId193" Type="http://schemas.openxmlformats.org/officeDocument/2006/relationships/hyperlink" Target="fdsup://factset/Doc%20Viewer%20Single?float_window=true&amp;positioning_strategy=center_on_screen&amp;_doc_docfn=U2FsdGVkX19TCyHtEAwasyTP3ddFmUGt5Q823hN0vS9b3vICpPsgol/7BX2BTWvTpa7I4akAud52/UQT8EeJ2tVXFwcC0H0RMwnDs66btRg=&amp;_app_id=central_doc_viewer&amp;center_on_screen=true&amp;width=950&amp;height=800&amp;_dd2=%26f%3Dsld%26c%3Dtrue%26os%3D44831%26oe%3D44838" TargetMode="External"/><Relationship Id="rId207" Type="http://schemas.openxmlformats.org/officeDocument/2006/relationships/hyperlink" Target="fdsup://factset/Doc%20Viewer%20Single?float_window=true&amp;positioning_strategy=center_on_screen&amp;_doc_docfn=U2FsdGVkX19BkFDTvB7n/7pkMfXGcXbmSI4itpX9SHTuuonsYU2sWkVuFo0+HKP2f0IFv5kTNM++VyKo1nArXxX5ccMJgF1y8ihB74rZiAs=&amp;_app_id=central_doc_viewer&amp;center_on_screen=true&amp;width=950&amp;height=800&amp;_dd2=%26f%3Dsld%26c%3Dtrue%26os%3D59814%26oe%3D59820" TargetMode="External"/><Relationship Id="rId249" Type="http://schemas.openxmlformats.org/officeDocument/2006/relationships/hyperlink" Target="fdsup://factset/Doc%20Viewer%20Single?float_window=true&amp;positioning_strategy=center_on_screen&amp;_doc_docfn=U2FsdGVkX18rBFRbe1DlDkqSFlM9dYQjZai7goP3TFr7qEXnrx/rywZSLkJAD/4Hwa3d7QbCDK+rL/75ruCZQHrBNqF8YZPf78pXLsnBMDk=&amp;_app_id=central_doc_viewer&amp;center_on_screen=true&amp;width=950&amp;height=800&amp;_dd2=%26f%3Dsld%26c%3Dtrue%26os%3D39594%26oe%3D39599" TargetMode="External"/><Relationship Id="rId13" Type="http://schemas.openxmlformats.org/officeDocument/2006/relationships/hyperlink" Target="fdsup://factset/Doc%20Viewer%20Single?float_window=true&amp;positioning_strategy=center_on_screen&amp;_doc_docfn=U2FsdGVkX19i1uNM75sURJPN6RtqwbTgFE4GB/7z5AlCVFWAs6o1dQ/wZze+ak3/uSa0LnSnMJalNAi8nuvvZCEtPyGgHN7ypvl88QzM3G0=&amp;_app_id=central_doc_viewer&amp;center_on_screen=true&amp;width=950&amp;height=800&amp;_dd2=%26f%3Dsld%26c%3Dtrue%26os%3D151766%26oe%3D151773" TargetMode="External"/><Relationship Id="rId109" Type="http://schemas.openxmlformats.org/officeDocument/2006/relationships/hyperlink" Target="fdsup://factset/Doc%20Viewer%20Single?float_window=true&amp;positioning_strategy=center_on_screen&amp;_doc_docfn=U2FsdGVkX18EnXyQRj5Nh5Ntcj9Oihc9dRHkAiLLlaJsn/joUzyGLwE9xsIfBT9zoKua2Jw4bfKK2jGqDe8HLSDJP9k4hNehD1tJ6+yOEaM=&amp;_app_id=central_doc_viewer&amp;center_on_screen=true&amp;width=950&amp;height=800&amp;_dd2=%26f%3Dsld%26c%3Dtrue%26os%3D132341%26oe%3D132347" TargetMode="External"/><Relationship Id="rId260" Type="http://schemas.openxmlformats.org/officeDocument/2006/relationships/hyperlink" Target="fdsup://factset/Doc%20Viewer%20Single?float_window=true&amp;positioning_strategy=center_on_screen&amp;_doc_docfn=U2FsdGVkX1+0pT+AX/Mjyvo07OMB+7jVZKQXwr0JaMufKaNCl9NXWazfkJpA9JyZKyIagDi4pdaVVJLz4FLCy3PHUA9ABQvzrq62mFBZdvA=&amp;_app_id=central_doc_viewer&amp;center_on_screen=true&amp;width=950&amp;height=800&amp;_dd2=%26f%3Dsld%26c%3Dtrue%26os%3D42324%26oe%3D42326" TargetMode="External"/><Relationship Id="rId316" Type="http://schemas.openxmlformats.org/officeDocument/2006/relationships/hyperlink" Target="fdsup://factset/Doc%20Viewer%20Single?float_window=true&amp;positioning_strategy=center_on_screen&amp;_doc_docfn=U2FsdGVkX1/fcHpLcQBYyykQkd5BL3YjEDrPSki2U2yfSCX6TMoxspa4Dg33vmZCUbZyE9gPsFRl6ZjNCb+kPntkyU7porb6oqZ3naBUFHM=&amp;_app_id=central_doc_viewer&amp;center_on_screen=true&amp;width=950&amp;height=800&amp;_dd2=%26f%3Dsld%26c%3Dtrue%26os%3D71618%26oe%3D71624" TargetMode="External"/><Relationship Id="rId55" Type="http://schemas.openxmlformats.org/officeDocument/2006/relationships/hyperlink" Target="fdsup://factset/Doc%20Viewer%20Single?float_window=true&amp;positioning_strategy=center_on_screen&amp;_doc_docfn=U2FsdGVkX19QnExcHIOrD4tmbMGfLj0HomCxyVdQ0xo1lCIUxFRR6XbVMF5/hinuzzHnts0yM5/Oz/4lyXKQo7P5Ezfe0Qq8UNA3/tJRy/w=&amp;_app_id=central_doc_viewer&amp;center_on_screen=true&amp;width=950&amp;height=800&amp;_dd2=%26f%3Dsld%26c%3Dtrue%26os%3D138908%26oe%3D138916" TargetMode="External"/><Relationship Id="rId97" Type="http://schemas.openxmlformats.org/officeDocument/2006/relationships/hyperlink" Target="fdsup://factset/Doc%20Viewer%20Single?float_window=true&amp;positioning_strategy=center_on_screen&amp;_doc_docfn=U2FsdGVkX1+UgXBfP5mbpYiw5glTZaa9h0PMLAfV7lSanEScYp+vZ7n7v5xBHo2MRnks7zUgGgSvZnLez8YpoUpu+j/ATj6vdzEhwkM0if8=&amp;_app_id=central_doc_viewer&amp;center_on_screen=true&amp;width=950&amp;height=800&amp;_dd2=%26f%3Dsld%26c%3Dtrue%26os%3D143016%26oe%3D143022" TargetMode="External"/><Relationship Id="rId120" Type="http://schemas.openxmlformats.org/officeDocument/2006/relationships/hyperlink" Target="fdsup://factset/Doc%20Viewer%20Single?float_window=true&amp;positioning_strategy=center_on_screen&amp;_doc_docfn=U2FsdGVkX1+gWIkXiaUjJbL/vK6wNzn51fBgjGffn3yGbR35i/QuvFgWduzsM40st32QKZzAIELTN2RUPwKJM7iT+ROJLewsqAzGA2zo51c=&amp;_app_id=central_doc_viewer&amp;center_on_screen=true&amp;width=950&amp;height=800&amp;_dd2=%26f%3Dsld%26c%3Dtrue%26os%3D64494%26oe%3D64505" TargetMode="External"/><Relationship Id="rId358" Type="http://schemas.openxmlformats.org/officeDocument/2006/relationships/hyperlink" Target="fdsup://factset/Doc%20Viewer%20Single?float_window=true&amp;positioning_strategy=center_on_screen&amp;_doc_docfn=U2FsdGVkX1+MsZrbI2OdxH0L++FufHS0EIHQUlAQCmmV7Bi5qYPPvKUqfUzQMm8dyIXGZi5sqvEVEEjYb0Gf4LqBQdOl0y7/5rL12APUmHQ=&amp;_app_id=central_doc_viewer&amp;center_on_screen=true&amp;width=950&amp;height=800&amp;_dd2=%26f%3Dsld%26c%3Dtrue%26os%3D74264%26oe%3D74271" TargetMode="External"/><Relationship Id="rId162" Type="http://schemas.openxmlformats.org/officeDocument/2006/relationships/hyperlink" Target="fdsup://factset/Doc%20Viewer%20Single?float_window=true&amp;positioning_strategy=center_on_screen&amp;_doc_docfn=U2FsdGVkX1+Tkt6BBQWXFVSY5M44oACOOCzzaHk+yVBvo4siy1DHRgSGAHFG9oWCoeSlJyYpKww0G6+Fc/8hGjiJkO3EvAWXer2DapMC+GY=&amp;_app_id=central_doc_viewer&amp;center_on_screen=true&amp;width=950&amp;height=800&amp;_dd2=%26f%3Dsld%26c%3Dtrue%26os%3D56801%26oe%3D56806" TargetMode="External"/><Relationship Id="rId218" Type="http://schemas.openxmlformats.org/officeDocument/2006/relationships/hyperlink" Target="fdsup://factset/Doc%20Viewer%20Single?float_window=true&amp;positioning_strategy=center_on_screen&amp;_doc_docfn=U2FsdGVkX1+P9N/XtgT/qepKpr6WBBn8Y80rxdi+YtaAOTFByKkrRUwiHpZ0kY0Msf+51N7OoRozEgQsMY/dkKITQV9Jd5VdqQ4WQl3yc2A=&amp;_app_id=central_doc_viewer&amp;center_on_screen=true&amp;width=950&amp;height=800&amp;_dd2=%26f%3Dsld%26c%3Dtrue%26os%3D61866%26oe%3D61872" TargetMode="External"/><Relationship Id="rId271" Type="http://schemas.openxmlformats.org/officeDocument/2006/relationships/hyperlink" Target="fdsup://factset/Doc%20Viewer%20Single?float_window=true&amp;positioning_strategy=center_on_screen&amp;_doc_docfn=U2FsdGVkX19ptUoKeoZvXwb6KTdQRv8v6fy0xjTOj07I6W0e1ULmyOqNUeOpM3U1jM4BU+gnfMY6OmJX5gE9Z5NFbw5k2TjCX4eMKcQNIeQ=&amp;_app_id=central_doc_viewer&amp;center_on_screen=true&amp;width=950&amp;height=800&amp;_dd2=%26f%3Dsld%26c%3Dtrue%26os%3D72832%26oe%3D72843" TargetMode="External"/><Relationship Id="rId24" Type="http://schemas.openxmlformats.org/officeDocument/2006/relationships/hyperlink" Target="fdsup://factset/Doc%20Viewer%20Single?float_window=true&amp;positioning_strategy=center_on_screen&amp;_doc_docfn=U2FsdGVkX1+zWvfJqUnoS+/BYUCO7+vFJ9PopBYAUL5HBMqTa1WlDM1U8CcBFEKiDtId8h3RhJN1IS7QGMy4YtuFtcy9jTaLjtK0meAmnR0=&amp;_app_id=central_doc_viewer&amp;center_on_screen=true&amp;width=950&amp;height=800&amp;_dd2=%26f%3Dsld%26c%3Dtrue%26os%3D70207%26oe%3D70213" TargetMode="External"/><Relationship Id="rId66" Type="http://schemas.openxmlformats.org/officeDocument/2006/relationships/hyperlink" Target="fdsup://factset/Doc%20Viewer%20Single?float_window=true&amp;positioning_strategy=center_on_screen&amp;_doc_docfn=U2FsdGVkX1/PFWIh2KrTn8mzflHh85aBRRLRudO4ksAl+dU1xO2gywC3f4nzNbvQEPi1Kzbj9vqJiaq8E5+noCotmvTA7mM/t8+Yg+nQWPc=&amp;_app_id=central_doc_viewer&amp;center_on_screen=true&amp;width=950&amp;height=800&amp;_dd2=%26f%3Dsld%26c%3Dtrue%26os%3D140059%26oe%3D140062" TargetMode="External"/><Relationship Id="rId131" Type="http://schemas.openxmlformats.org/officeDocument/2006/relationships/hyperlink" Target="fdsup://factset/Doc%20Viewer%20Single?float_window=true&amp;positioning_strategy=center_on_screen&amp;_doc_docfn=U2FsdGVkX182rh1QIQrBRo70QtdDGhaqMlBGfUwBKjHds5CwuvlDm2xqBYjplbE8+EhPdXSuXxcF+/eRNRl4Bq06wSknJSdG3594rYvG5s8=&amp;_app_id=central_doc_viewer&amp;center_on_screen=true&amp;width=950&amp;height=800&amp;_dd2=%26f%3Dsld%26c%3Dtrue%26os%3D53278%26oe%3D53285" TargetMode="External"/><Relationship Id="rId327" Type="http://schemas.openxmlformats.org/officeDocument/2006/relationships/hyperlink" Target="fdsup://factset/Doc%20Viewer%20Single?float_window=true&amp;positioning_strategy=center_on_screen&amp;_doc_docfn=U2FsdGVkX1+fI1DOdLmdpGvOkGEbPs0OaZ8WtuWQNCofz9A4HQwKP234iPs2RFHVMf7y9v2mWCcl72i/SGewV01W0yMBVscz0jfHI1D4Qsw=&amp;_app_id=central_doc_viewer&amp;center_on_screen=true&amp;width=950&amp;height=800&amp;_dd2=%26f%3Dsld%26c%3Dtrue%26os%3D62186%26oe%3D62193" TargetMode="External"/><Relationship Id="rId369" Type="http://schemas.openxmlformats.org/officeDocument/2006/relationships/hyperlink" Target="fdsup://factset/Doc%20Viewer%20Single?float_window=true&amp;positioning_strategy=center_on_screen&amp;_doc_docfn=U2FsdGVkX1+kQtpH6THg0CjU1+3dOfxEka31Ao8JT5pUU7W4wLw/Ae6fIU2/+399L25Z+2QzhebqCMbtC8AicacO6W+24yc7tUS/NnXZ5Zg=&amp;_app_id=central_doc_viewer&amp;center_on_screen=true&amp;width=950&amp;height=800&amp;_dd2=%26f%3Dsld%26c%3Dtrue%26os%3D61029%26oe%3D61036" TargetMode="External"/><Relationship Id="rId173" Type="http://schemas.openxmlformats.org/officeDocument/2006/relationships/hyperlink" Target="fdsup://factset/Doc%20Viewer%20Single?float_window=true&amp;positioning_strategy=center_on_screen&amp;_doc_docfn=U2FsdGVkX18WJ7uYl2MjINTmV1y6IQQ1oalp8ed1hEl+BU69ZyQZ5nzG4CIh3ACOTeO+WzYsTT/wySK/lQM88s5H3lYQZXoeHg8zZu3rR4s=&amp;_app_id=central_doc_viewer&amp;center_on_screen=true&amp;width=950&amp;height=800&amp;_dd2=%26f%3Dsld%26c%3Dtrue%26os%3D33037%26oe%3D33042" TargetMode="External"/><Relationship Id="rId229" Type="http://schemas.openxmlformats.org/officeDocument/2006/relationships/hyperlink" Target="fdsup://factset/Doc%20Viewer%20Single?float_window=true&amp;positioning_strategy=center_on_screen&amp;_doc_docfn=U2FsdGVkX1+TAAJMb4B2buBseRlI6zy/wTinjvFXvQJRClssHdv7XNUG3np1ZRzuEgtoZ9OBpxD+DNOLDQg/qOOZ9yYnwoqM4/mcuWZirbE=&amp;_app_id=central_doc_viewer&amp;center_on_screen=true&amp;width=950&amp;height=800&amp;_dd2=%26f%3Dsld%26c%3Dtrue%26os%3D76302%26oe%3D76308" TargetMode="External"/><Relationship Id="rId380" Type="http://schemas.openxmlformats.org/officeDocument/2006/relationships/hyperlink" Target="fdsup://factset/Doc%20Viewer%20Single?float_window=true&amp;positioning_strategy=center_on_screen&amp;_doc_docfn=U2FsdGVkX1/EDmMUrJS80TF8pdr43pXRJ52d7xtSwHNFN8o9g3MjDeurxRc2ghOzOWCQ7lJo7TdBAFZk9IofhpJtRlIhZZQ8WeBJ4qrGE6s=&amp;_app_id=central_doc_viewer&amp;center_on_screen=true&amp;width=950&amp;height=800&amp;_dd2=%26f%3Dsld%26c%3Dtrue%26os%3D69137%26oe%3D69144" TargetMode="External"/><Relationship Id="rId240" Type="http://schemas.openxmlformats.org/officeDocument/2006/relationships/hyperlink" Target="fdsup://factset/Doc%20Viewer%20Single?float_window=true&amp;positioning_strategy=center_on_screen&amp;_doc_docfn=U2FsdGVkX19FfWWAVc+DDABpQhNFIq8SPGEySuN1Bcvd3uBVxCtItDFJ1L+cC17Zu1coPuB/XecA+lXSNuxfu1QSrQTNbI1c4EQfxukkox0=&amp;_app_id=central_doc_viewer&amp;center_on_screen=true&amp;width=950&amp;height=800&amp;_dd2=%26f%3Dsld%26c%3Dtrue%26os%3D69675%26oe%3D69685" TargetMode="External"/><Relationship Id="rId35" Type="http://schemas.openxmlformats.org/officeDocument/2006/relationships/hyperlink" Target="fdsup://factset/Doc%20Viewer%20Single?float_window=true&amp;positioning_strategy=center_on_screen&amp;_doc_docfn=U2FsdGVkX180vf3fXWxRmY+i2I9LEfTCrr3loJGd5Rq+l83gFUKGws/fPMYmKfdLTypB/4AgIVSRCmiZVYbRtIxrwDFwrLAIVF0ztktZg1k=&amp;_app_id=central_doc_viewer&amp;center_on_screen=true&amp;width=950&amp;height=800&amp;_dd2=%26f%3Dsld%26c%3Dtrue%26os%3D136771%26oe%3D136776" TargetMode="External"/><Relationship Id="rId77" Type="http://schemas.openxmlformats.org/officeDocument/2006/relationships/hyperlink" Target="fdsup://factset/Doc%20Viewer%20Single?float_window=true&amp;positioning_strategy=center_on_screen&amp;_doc_docfn=U2FsdGVkX18OPGPOAg+oWyjFIgZuPQgtVh7CVC/SRCXHyyGdU8B9m/oB7xtuS3pROD/SmqTlhxbrhGWRSdYTUbnm+CF93ZO4cFiGK/xlxgc=&amp;_app_id=central_doc_viewer&amp;center_on_screen=true&amp;width=950&amp;height=800&amp;_dd2=%26f%3Dsld%26c%3Dtrue%26os%3D125725%26oe%3D125731" TargetMode="External"/><Relationship Id="rId100" Type="http://schemas.openxmlformats.org/officeDocument/2006/relationships/hyperlink" Target="fdsup://factset/Doc%20Viewer%20Single?float_window=true&amp;positioning_strategy=center_on_screen&amp;_doc_docfn=U2FsdGVkX1+kgQ4QdcPMbCCpTMKii69K9pF4ds+x7Tix5uxp6KGduyBiLP5itORvJfYvNTzPVijVpTj25evbJSUhSCvQsI4tT0ihZKD02RU=&amp;_app_id=central_doc_viewer&amp;center_on_screen=true&amp;width=950&amp;height=800&amp;_dd2=%26f%3Dsld%26c%3Dtrue%26os%3D159228%26oe%3D159234" TargetMode="External"/><Relationship Id="rId282" Type="http://schemas.openxmlformats.org/officeDocument/2006/relationships/hyperlink" Target="fdsup://factset/Doc%20Viewer%20Single?float_window=true&amp;positioning_strategy=center_on_screen&amp;_doc_docfn=U2FsdGVkX1++ieNZtkHHWo3R+OOkAdUJi7WzDymABwDwFPotph3VhgvETJAaMePWmqDCbViKcTLxvazttoTqalkdG56mip2L56+I6lzbd9w=&amp;_app_id=central_doc_viewer&amp;center_on_screen=true&amp;width=950&amp;height=800&amp;_dd2=%26f%3Dsld%26c%3Dtrue%26os%3D73393%26oe%3D73401" TargetMode="External"/><Relationship Id="rId338" Type="http://schemas.openxmlformats.org/officeDocument/2006/relationships/hyperlink" Target="fdsup://factset/Doc%20Viewer%20Single?float_window=true&amp;positioning_strategy=center_on_screen&amp;_doc_docfn=U2FsdGVkX18nMr4MkLxmi8JyjQ+YUnxAcikgrNReM5w5mVjIMlvCFmiAAvbRghMI0Kvrdg1+9LIggrJV2TJF0eVoh76disKtOgvvCFZjZ4g=&amp;_app_id=central_doc_viewer&amp;center_on_screen=true&amp;width=950&amp;height=800&amp;_dd2=%26f%3Dsld%26c%3Dtrue%26os%3D64614%26oe%3D64616" TargetMode="External"/><Relationship Id="rId8" Type="http://schemas.openxmlformats.org/officeDocument/2006/relationships/hyperlink" Target="fdsup://factset/Doc%20Viewer%20Single?float_window=true&amp;positioning_strategy=center_on_screen&amp;_doc_docfn=U2FsdGVkX191zOrabC2/bhbriAQfcNMy2KVYiFNgwRb0hxx9li8Eup+Ht+iwFJsT6u9Qr4RXfKIP3k2rmIxevnqhncB/ntOMTdtQ6VaYijI=&amp;_app_id=central_doc_viewer&amp;center_on_screen=true&amp;width=950&amp;height=800&amp;_dd2=%26f%3Dsld%26c%3Dtrue%26os%3D69127%26oe%3D69134" TargetMode="External"/><Relationship Id="rId142" Type="http://schemas.openxmlformats.org/officeDocument/2006/relationships/hyperlink" Target="fdsup://factset/Doc%20Viewer%20Single?float_window=true&amp;positioning_strategy=center_on_screen&amp;_doc_docfn=U2FsdGVkX18ezlMfX2Y+XeUcNZTcoFOOUwSh5MTaZeK5t+DTzYGaMf1+avW9uzOGNvnBixJ7Gp46WAUHUMaiWyQgEp7o6VmOaH2Cjou0k1A=&amp;_app_id=central_doc_viewer&amp;center_on_screen=true&amp;width=950&amp;height=800&amp;_dd2=%26f%3Dsld%26c%3Dtrue%26os%3D54370%26oe%3D54375" TargetMode="External"/><Relationship Id="rId184" Type="http://schemas.openxmlformats.org/officeDocument/2006/relationships/hyperlink" Target="fdsup://factset/Doc%20Viewer%20Single?float_window=true&amp;positioning_strategy=center_on_screen&amp;_doc_docfn=U2FsdGVkX18Z5w4VkMdnJgx0muJtY7WBTvsXcwwxxeH++JVHApvR0x1jN5blpuvFif8Fl1ek1X772UWqi9Bq6uD4q3yybXa4Pu84sHK5Kk0=&amp;_app_id=central_doc_viewer&amp;center_on_screen=true&amp;width=950&amp;height=800&amp;_dd2=%26f%3Dsld%26c%3Dtrue%26os%3D33992%26oe%3D33997" TargetMode="External"/><Relationship Id="rId391" Type="http://schemas.openxmlformats.org/officeDocument/2006/relationships/hyperlink" Target="fdsup://factset/Doc%20Viewer%20Single?float_window=true&amp;positioning_strategy=center_on_screen&amp;_doc_docfn=U2FsdGVkX18DGlrfy7HIOQV0VpepnJEJDCQRU97fed7n/BOmt5V0jLqU20Wz63J3eHlU1fy8yAEVs0CLp5DVZLArrxOyNJFmZhxmId6EGLA=&amp;_app_id=central_doc_viewer&amp;center_on_screen=true&amp;width=950&amp;height=800&amp;_dd2=%26f%3Dsld%26c%3Dtrue%26os%3D75605%26oe%3D75612" TargetMode="External"/><Relationship Id="rId251" Type="http://schemas.openxmlformats.org/officeDocument/2006/relationships/hyperlink" Target="fdsup://factset/Doc%20Viewer%20Single?float_window=true&amp;positioning_strategy=center_on_screen&amp;_doc_docfn=U2FsdGVkX18o8ye9LTzxqwwF0tCoXyVkopDs6r/I5p1W2ruHy6o3MsqTGYTIkWMhd2XEOduI8Ylh8PmmcOw59fuofZI16EdtwBZDgXQraY4=&amp;_app_id=central_doc_viewer&amp;center_on_screen=true&amp;width=950&amp;height=800&amp;_dd2=%26f%3Dsld%26c%3Dtrue%26os%3D69849%26oe%3D69856" TargetMode="External"/><Relationship Id="rId46" Type="http://schemas.openxmlformats.org/officeDocument/2006/relationships/hyperlink" Target="fdsup://factset/Doc%20Viewer%20Single?float_window=true&amp;positioning_strategy=center_on_screen&amp;_doc_docfn=U2FsdGVkX1/Apn+TjDhOm563OZZP62D1smUeget8gZjwI/SiWX6mNl/CMQbnQjMPJnpQH0GbcxvIx02znyNzBC7YyeNoWT8LDEjRZBzopQM=&amp;_app_id=central_doc_viewer&amp;center_on_screen=true&amp;width=950&amp;height=800&amp;_dd2=%26f%3Dsld%26c%3Dtrue%26os%3D137867%26oe%3D137868" TargetMode="External"/><Relationship Id="rId293" Type="http://schemas.openxmlformats.org/officeDocument/2006/relationships/hyperlink" Target="fdsup://factset/Doc%20Viewer%20Single?float_window=true&amp;positioning_strategy=center_on_screen&amp;_doc_docfn=U2FsdGVkX18fMf7giBEI3Y1cO4MoZlpLwoy9y2fpeDPog0z0bR3wZFqx8AJEx61EJ5kmwD09XxVWzmEeG15hJilMZWOvFBqyEJIeBGlkXq4=&amp;_app_id=central_doc_viewer&amp;center_on_screen=true&amp;width=950&amp;height=800&amp;_dd2=%26f%3Dsld%26c%3Dtrue%26os%3D60195%26oe%3D60202" TargetMode="External"/><Relationship Id="rId307" Type="http://schemas.openxmlformats.org/officeDocument/2006/relationships/hyperlink" Target="fdsup://factset/Doc%20Viewer%20Single?float_window=true&amp;positioning_strategy=center_on_screen&amp;_doc_docfn=U2FsdGVkX1+VHZ9dh6lY0wyWpabAA9b4dz4IdtC0dO0WMWQHyTWrUc5dryyON57iwewSzxZqibatsHub6e8iqBPHNw3nA5VJWf8upow6LH0=&amp;_app_id=central_doc_viewer&amp;center_on_screen=true&amp;width=950&amp;height=800&amp;_dd2=%26f%3Dsld%26c%3Dtrue%26os%3D66737%26oe%3D66744" TargetMode="External"/><Relationship Id="rId349" Type="http://schemas.openxmlformats.org/officeDocument/2006/relationships/hyperlink" Target="fdsup://factset/Doc%20Viewer%20Single?float_window=true&amp;positioning_strategy=center_on_screen&amp;_doc_docfn=U2FsdGVkX19CHC28aM0hm0DSZsRFHQq1XDDr8XVsteDycJidQgDbqtSiwIeE0aw6ICq6xTf1IuhimHYKohK38H71Ekm1+EN51uJHqCwj7II=&amp;_app_id=central_doc_viewer&amp;center_on_screen=true&amp;width=950&amp;height=800&amp;_dd2=%26f%3Dsld%26c%3Dtrue%26os%3D72113%26oe%3D72120" TargetMode="External"/><Relationship Id="rId88" Type="http://schemas.openxmlformats.org/officeDocument/2006/relationships/hyperlink" Target="fdsup://factset/Doc%20Viewer%20Single?float_window=true&amp;positioning_strategy=center_on_screen&amp;_doc_docfn=U2FsdGVkX1+XRG/izy/F4NibfjwOSK9VVN4rjqrQwCRm2oyKbg8k6c23Z/KljEv75AIo4BIkE4SdNf8/+W8S2rA2mrIqQQ1l3GNqjzt2Bcs=&amp;_app_id=central_doc_viewer&amp;center_on_screen=true&amp;width=950&amp;height=800&amp;_dd2=%26f%3Dsld%26c%3Dtrue%26os%3D142128%26oe%3D142131" TargetMode="External"/><Relationship Id="rId111" Type="http://schemas.openxmlformats.org/officeDocument/2006/relationships/hyperlink" Target="fdsup://factset/Doc%20Viewer%20Single?float_window=true&amp;positioning_strategy=center_on_screen&amp;_doc_docfn=U2FsdGVkX19Vtmxm5ZQ1CMDb09FFAUwQKzvCP/pOo5Qx7Tbt2CoRH6Yj8Qo43P8ca3ocoCPBoIG3lb+sZJZS8Ih5gL5GTFo6V6M+5P20O3k=&amp;_app_id=central_doc_viewer&amp;center_on_screen=true&amp;width=950&amp;height=800&amp;_dd2=%26f%3Dsld%26c%3Dtrue%26os%3D78085%26oe%3D78089" TargetMode="External"/><Relationship Id="rId153" Type="http://schemas.openxmlformats.org/officeDocument/2006/relationships/hyperlink" Target="fdsup://factset/Doc%20Viewer%20Single?float_window=true&amp;positioning_strategy=center_on_screen&amp;_doc_docfn=U2FsdGVkX19bWmx2KpHXdn9lo9YQTXNWxmvjVxnSbd4eZCUlDx6SkOc0wLMGGjnrI685RYMzlcEE/DXQY2ABbynatdszBqfD0352knr8J3w=&amp;_app_id=central_doc_viewer&amp;center_on_screen=true&amp;width=950&amp;height=800&amp;_dd2=%26f%3Dsld%26c%3Dtrue%26os%3D66029%26oe%3D66035" TargetMode="External"/><Relationship Id="rId195" Type="http://schemas.openxmlformats.org/officeDocument/2006/relationships/hyperlink" Target="fdsup://factset/Doc%20Viewer%20Single?float_window=true&amp;positioning_strategy=center_on_screen&amp;_doc_docfn=U2FsdGVkX195zhNLOxxFjeCXAtQyKK4OqN7TZZ5jomDdH/DQKYhvujnHGdnkVr9rm7wO0geVxLSYAfj7P3YTadwcwdbAh3FS4+7H98ToW4g=&amp;_app_id=central_doc_viewer&amp;center_on_screen=true&amp;width=950&amp;height=800&amp;_dd2=%26f%3Dsld%26c%3Dtrue%26os%3D66112%26oe%3D66119" TargetMode="External"/><Relationship Id="rId209" Type="http://schemas.openxmlformats.org/officeDocument/2006/relationships/hyperlink" Target="fdsup://factset/Doc%20Viewer%20Single?float_window=true&amp;positioning_strategy=center_on_screen&amp;_doc_docfn=U2FsdGVkX1+ToRw7SBYhRZZmTYOZxW5xn5WAx01yCg/et3rSt0ZfsElwC4oYVhVwEyf748iZror4ErEBRbCtRhNia5qtx6y3nW00K6DcBWg=&amp;_app_id=central_doc_viewer&amp;center_on_screen=true&amp;width=950&amp;height=800&amp;_dd2=%26f%3Dsld%26c%3Dtrue%26os%3D65798%26oe%3D65808" TargetMode="External"/><Relationship Id="rId360" Type="http://schemas.openxmlformats.org/officeDocument/2006/relationships/hyperlink" Target="fdsup://factset/Doc%20Viewer%20Single?float_window=true&amp;positioning_strategy=center_on_screen&amp;_doc_docfn=U2FsdGVkX18J07XiIK4zS6dIIjDkQ/wEcOQqdJP5l22z20QHorzlXXWUzETIXAOp0Zs98P2yJkmrlqwSTz3clepcjHnbE9zWhzKuw2lN6gE=&amp;_app_id=central_doc_viewer&amp;center_on_screen=true&amp;width=950&amp;height=800&amp;_dd2=%26f%3Dsld%26c%3Dtrue%26os%3D79132%26oe%3D79142" TargetMode="External"/><Relationship Id="rId220" Type="http://schemas.openxmlformats.org/officeDocument/2006/relationships/hyperlink" Target="fdsup://factset/Doc%20Viewer%20Single?float_window=true&amp;positioning_strategy=center_on_screen&amp;_doc_docfn=U2FsdGVkX1+b1e81CNTlQZFNAoMcD2nEKXob5NMpw+ltMUzok6f6SjhDRCY04wQjHZEsoxXMN3lJbuz+5n9bc9Etbd8d2AM6WvS+KH42sHo=&amp;_app_id=central_doc_viewer&amp;center_on_screen=true&amp;width=950&amp;height=800&amp;_dd2=%26f%3Dsld%26c%3Dtrue%26os%3D60845%26oe%3D60851" TargetMode="External"/><Relationship Id="rId15" Type="http://schemas.openxmlformats.org/officeDocument/2006/relationships/hyperlink" Target="fdsup://factset/Doc%20Viewer%20Single?float_window=true&amp;positioning_strategy=center_on_screen&amp;_doc_docfn=U2FsdGVkX19ORhCLGnOuxi2wrzjp1SPSt48tecKfUD4qSI3hE9P86yO6ECasWe1Axj2I4tJ/YzsqTKv+dy8/1WjovP9gZRCeadyLK7onpME=&amp;_app_id=central_doc_viewer&amp;center_on_screen=true&amp;width=950&amp;height=800&amp;_dd2=%26f%3Dsld%26c%3Dtrue%26os%3D118725%26oe%3D118732" TargetMode="External"/><Relationship Id="rId57" Type="http://schemas.openxmlformats.org/officeDocument/2006/relationships/hyperlink" Target="fdsup://factset/Doc%20Viewer%20Single?float_window=true&amp;positioning_strategy=center_on_screen&amp;_doc_docfn=U2FsdGVkX1/SEpiCNsH/dgKI0NtTqhfwid2qat0jJCEXd8HxQxzBBqEH5f9j8hfs8hjQfrHm5Thnnapwth+4UUq8z6vgUJGxEmHdkYdZX6Y=&amp;_app_id=central_doc_viewer&amp;center_on_screen=true&amp;width=950&amp;height=800&amp;_dd2=%26f%3Dsld%26c%3Dtrue%26os%3D139339%26oe%3D139346" TargetMode="External"/><Relationship Id="rId262" Type="http://schemas.openxmlformats.org/officeDocument/2006/relationships/hyperlink" Target="fdsup://factset/Doc%20Viewer%20Single?float_window=true&amp;positioning_strategy=center_on_screen&amp;_doc_docfn=U2FsdGVkX195lAC9BhPUa+q3jQeMdWKW8oHuxqLxwkng8avV4S/aXkdJF2Ls43LMS2Hbx5TF+7euFYyvXUQI6o5O+JV04a06qnlwLSfY4U4=&amp;_app_id=central_doc_viewer&amp;center_on_screen=true&amp;width=950&amp;height=800&amp;_dd2=%26f%3Dsld%26c%3Dtrue%26os%3D71320%26oe%3D71322" TargetMode="External"/><Relationship Id="rId318" Type="http://schemas.openxmlformats.org/officeDocument/2006/relationships/hyperlink" Target="fdsup://factset/Doc%20Viewer%20Single?float_window=true&amp;positioning_strategy=center_on_screen&amp;_doc_docfn=U2FsdGVkX19lsh3g7q8vl+ugr+BCV75nZrTbKSTAsgWC825OgWlRSsFLXIzptQVC2NDUGTvbVqMqq15x7DVYd6xahlGOgdOBuXBa3+x6JbY=&amp;_app_id=central_doc_viewer&amp;center_on_screen=true&amp;width=950&amp;height=800&amp;_dd2=%26f%3Dsld%26c%3Dtrue%26os%3D73772%26oe%3D73773" TargetMode="External"/><Relationship Id="rId99" Type="http://schemas.openxmlformats.org/officeDocument/2006/relationships/hyperlink" Target="fdsup://factset/Doc%20Viewer%20Single?float_window=true&amp;positioning_strategy=center_on_screen&amp;_doc_docfn=U2FsdGVkX18x8qZY4k4TFVazEnVLPCipujzdtr2kV4PZWfFnb7Z9s6TVeC0P3h+fB13F85oRfaE20pgYmRV5/YL92hYJv/QjJKHThi51uT0=&amp;_app_id=central_doc_viewer&amp;center_on_screen=true&amp;width=950&amp;height=800&amp;_dd2=%26f%3Dsld%26c%3Dtrue%26os%3D143135%26oe%3D143141" TargetMode="External"/><Relationship Id="rId122" Type="http://schemas.openxmlformats.org/officeDocument/2006/relationships/hyperlink" Target="fdsup://factset/Doc%20Viewer%20Single?float_window=true&amp;positioning_strategy=center_on_screen&amp;_doc_docfn=U2FsdGVkX199x3lDkpfs3y1HFJG4/KCICWYMC+lWJQR+ax3tmgSvnnUhIBT+9FvNQlUvA6eLdvlQ0pC3m2jCgAb2+F3nM5KlawS/yTdG2eA=&amp;_app_id=central_doc_viewer&amp;center_on_screen=true&amp;width=950&amp;height=800&amp;_dd2=%26f%3Dsld%26c%3Dtrue%26os%3D70278%26oe%3D70285" TargetMode="External"/><Relationship Id="rId164" Type="http://schemas.openxmlformats.org/officeDocument/2006/relationships/hyperlink" Target="fdsup://factset/Doc%20Viewer%20Single?float_window=true&amp;positioning_strategy=center_on_screen&amp;_doc_docfn=U2FsdGVkX18mYqXW00e3tU7D+mblBjs7NxKBzs8yjW9Rk2cIcX8lmecP4q7X3YquI45iYAzEN33VgZc1Z0kFCoR7fQnwnS/Je+5EGCn1Msw=&amp;_app_id=central_doc_viewer&amp;center_on_screen=true&amp;width=950&amp;height=800&amp;_dd2=%26f%3Dsld%26c%3Dtrue%26os%3D62097%26oe%3D62107" TargetMode="External"/><Relationship Id="rId371" Type="http://schemas.openxmlformats.org/officeDocument/2006/relationships/hyperlink" Target="fdsup://factset/Doc%20Viewer%20Single?float_window=true&amp;positioning_strategy=center_on_screen&amp;_doc_docfn=U2FsdGVkX193Z5TlybNyDKa3DtjqC3Wja03XG7zsktBuEh4NYn4w3aC/2jg+uRH3V4eFJqSWQJaAx8rDTRG20l+3S8wwy3aAkv5wMkyXPEg=&amp;_app_id=central_doc_viewer&amp;center_on_screen=true&amp;width=950&amp;height=800&amp;_dd2=%26f%3Dsld%26c%3Dtrue%26os%3D62498%26oe%3D62505" TargetMode="External"/><Relationship Id="rId26" Type="http://schemas.openxmlformats.org/officeDocument/2006/relationships/hyperlink" Target="fdsup://factset/Doc%20Viewer%20Single?float_window=true&amp;positioning_strategy=center_on_screen&amp;_doc_docfn=U2FsdGVkX190pxVipHXPbMKUU/tsuTqbv5bICkWqDUwWy/UGhStSdSQvOC6rN4RiKb2FwRhaZpt9RGudEcio4sPfv8FbZ+p8X444PDVj47w=&amp;_app_id=central_doc_viewer&amp;center_on_screen=true&amp;width=950&amp;height=800&amp;_dd2=%26f%3Dsld%26c%3Dtrue%26os%3D136210%26oe%3D136219" TargetMode="External"/><Relationship Id="rId231" Type="http://schemas.openxmlformats.org/officeDocument/2006/relationships/hyperlink" Target="fdsup://factset/Doc%20Viewer%20Single?float_window=true&amp;positioning_strategy=center_on_screen&amp;_doc_docfn=U2FsdGVkX1/V57QzLEFvUtysBzmzatTDVN6mq5IVu3T6jpGwGNwCTGNp1Kvpd/8jitWXzS4sYo6qfQeWgD9gSLBYJDZu0cJSFFaNAXvG9h8=&amp;_app_id=central_doc_viewer&amp;center_on_screen=true&amp;width=950&amp;height=800&amp;_dd2=%26f%3Dsld%26c%3Dtrue%26os%3D40085%26oe%3D40091" TargetMode="External"/><Relationship Id="rId273" Type="http://schemas.openxmlformats.org/officeDocument/2006/relationships/hyperlink" Target="fdsup://factset/Doc%20Viewer%20Single?float_window=true&amp;positioning_strategy=center_on_screen&amp;_doc_docfn=U2FsdGVkX1+TE2Uz08InW9tOuqVWvhFzfDrXyL+v8kJr0WnY2cY4nFnkQuM1a4JmWZsKmXsZWHxapntmTYMrp5gHgYo82ODzoqBBb2/Us6Y=&amp;_app_id=central_doc_viewer&amp;center_on_screen=true&amp;width=950&amp;height=800&amp;_dd2=%26f%3Dsld%26c%3Dtrue%26os%3D78452%26oe%3D78459" TargetMode="External"/><Relationship Id="rId329" Type="http://schemas.openxmlformats.org/officeDocument/2006/relationships/hyperlink" Target="fdsup://factset/Doc%20Viewer%20Single?float_window=true&amp;positioning_strategy=center_on_screen&amp;_doc_docfn=U2FsdGVkX195X20Q/naNQghTE60McIwOy4hjkWl7wFMXbivfS2js3pznJJ4FFLAbSQ+FUXoth4ijMzc0EvFYcFw69TomWpCxA6rkpxi/mf4=&amp;_app_id=central_doc_viewer&amp;center_on_screen=true&amp;width=950&amp;height=800&amp;_dd2=%26f%3Dsld%26c%3Dtrue%26os%3D59668%26oe%3D59671" TargetMode="External"/><Relationship Id="rId68" Type="http://schemas.openxmlformats.org/officeDocument/2006/relationships/hyperlink" Target="fdsup://factset/Doc%20Viewer%20Single?float_window=true&amp;positioning_strategy=center_on_screen&amp;_doc_docfn=U2FsdGVkX1/Br4Dy6l0nuQc84zVX4Qw72Z6b/kEd1oQeHnpiLbgYceG9XrI+wcSCY7n+iQPY0Olz7rBy29UtPGD2Qycun4k7fGAxH2neRaU=&amp;_app_id=central_doc_viewer&amp;center_on_screen=true&amp;width=950&amp;height=800&amp;_dd2=%26f%3Dsld%26c%3Dtrue%26os%3D156064%26oe%3D156067" TargetMode="External"/><Relationship Id="rId133" Type="http://schemas.openxmlformats.org/officeDocument/2006/relationships/hyperlink" Target="fdsup://factset/Doc%20Viewer%20Single?float_window=true&amp;positioning_strategy=center_on_screen&amp;_doc_docfn=U2FsdGVkX1/VZ4cQxFeP/6W1rMDituwX0lcME26czCY9Wpwz7jZbjzg2gNvXte2EH9TczxCNEUNFbF+Mh3PGgTabg0k/T6H3rJAUl865zPA=&amp;_app_id=central_doc_viewer&amp;center_on_screen=true&amp;width=950&amp;height=800&amp;_dd2=%26f%3Dsld%26c%3Dtrue%26os%3D53261%26oe%3D53267" TargetMode="External"/><Relationship Id="rId175" Type="http://schemas.openxmlformats.org/officeDocument/2006/relationships/hyperlink" Target="fdsup://factset/Doc%20Viewer%20Single?float_window=true&amp;positioning_strategy=center_on_screen&amp;_doc_docfn=U2FsdGVkX1+2khmfNiFJL41a25BOMMe971L1IhRsu5ZuNg2PBgz2qHexgOhy9hRY5zfFQhjfOulF5Odk8cpGm6Cj1FMVa8+dItG7MOcWdDY=&amp;_app_id=central_doc_viewer&amp;center_on_screen=true&amp;width=950&amp;height=800&amp;_dd2=%26f%3Dsld%26c%3Dtrue%26os%3D58213%26oe%3D58216" TargetMode="External"/><Relationship Id="rId340" Type="http://schemas.openxmlformats.org/officeDocument/2006/relationships/hyperlink" Target="fdsup://factset/Doc%20Viewer%20Single?float_window=true&amp;positioning_strategy=center_on_screen&amp;_doc_docfn=U2FsdGVkX1+MIVvdpuHNWxWWKfb+x3yIeUNvb9jiVzlFCPmthx8+4kBNJaN35hVah/tdsCjE9YTjMeG5IXmR9lz8Hd58NqZMp2AaanjlK8w=&amp;_app_id=central_doc_viewer&amp;center_on_screen=true&amp;width=950&amp;height=800&amp;_dd2=%26f%3Dsld%26c%3Dtrue%26os%3D65570%26oe%3D65576" TargetMode="External"/><Relationship Id="rId200" Type="http://schemas.openxmlformats.org/officeDocument/2006/relationships/hyperlink" Target="fdsup://factset/Doc%20Viewer%20Single?float_window=true&amp;positioning_strategy=center_on_screen&amp;_doc_docfn=U2FsdGVkX19wCEGzOP+lwHKMCMdHK1Q/n96EFZ4RiQyDPQNRpMyFiCCD+b4/JhJbVmiuDAJ5zZzqRCQr/3Dlseasrq8AS4RCv2EC38aRNfE=&amp;_app_id=central_doc_viewer&amp;center_on_screen=true&amp;width=950&amp;height=800&amp;_dd2=%26f%3Dsld%26c%3Dtrue%26os%3D62881%26oe%3D62888" TargetMode="External"/><Relationship Id="rId382" Type="http://schemas.openxmlformats.org/officeDocument/2006/relationships/hyperlink" Target="fdsup://factset/Doc%20Viewer%20Single?float_window=true&amp;positioning_strategy=center_on_screen&amp;_doc_docfn=U2FsdGVkX18++2i7tC8jS5BodDAx5dg1bDAWjgeEGpZ3pFHSXnKyNhfKFR8+Yy7eaobX57iwi/TTytvP+kKB7nrWAsffbq0Bt4cezydNlhE=&amp;_app_id=central_doc_viewer&amp;center_on_screen=true&amp;width=950&amp;height=800&amp;_dd2=%26f%3Dsld%26c%3Dtrue%26os%3D67107%26oe%3D67114" TargetMode="External"/><Relationship Id="rId242" Type="http://schemas.openxmlformats.org/officeDocument/2006/relationships/hyperlink" Target="fdsup://factset/Doc%20Viewer%20Single?float_window=true&amp;positioning_strategy=center_on_screen&amp;_doc_docfn=U2FsdGVkX18nmMCWRN6+JB2TcJ1wNc2pUM3ShobgOcsvI6SBkd6BjmmTPMkXiNIGlCxlC3NsmWVIsaqgYGo2ZdnI+cDlld7E1F8vHj/8+5U=&amp;_app_id=central_doc_viewer&amp;center_on_screen=true&amp;width=950&amp;height=800&amp;_dd2=%26f%3Dsld%26c%3Dtrue%26os%3D75333%26oe%3D75339" TargetMode="External"/><Relationship Id="rId284" Type="http://schemas.openxmlformats.org/officeDocument/2006/relationships/hyperlink" Target="fdsup://factset/Doc%20Viewer%20Single?float_window=true&amp;positioning_strategy=center_on_screen&amp;_doc_docfn=U2FsdGVkX18UTzePve5f3cptFFBLkT+VEyvZBNEcib8+nIzm3wwS8fnmwnLGJgUvYdSHvVJYqQSa1yWEW9ds+Ub19DC0rjmWXja6cCe2YFA=&amp;_app_id=central_doc_viewer&amp;center_on_screen=true&amp;width=950&amp;height=800&amp;_dd2=%26f%3Dsld%26c%3Dtrue%26os%3D73898%26oe%3D73909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236A-E17F-4D61-AD18-47AA673CF6C8}">
  <sheetPr>
    <tabColor theme="8" tint="0.59999389629810485"/>
  </sheetPr>
  <dimension ref="B1:V36"/>
  <sheetViews>
    <sheetView showGridLines="0" tabSelected="1" workbookViewId="0">
      <selection activeCell="C6" sqref="C6"/>
    </sheetView>
  </sheetViews>
  <sheetFormatPr defaultRowHeight="12.75"/>
  <cols>
    <col min="2" max="2" width="20.59765625" customWidth="1"/>
    <col min="3" max="3" width="13.33203125" customWidth="1"/>
    <col min="4" max="4" width="1.59765625" customWidth="1"/>
    <col min="5" max="5" width="23" bestFit="1" customWidth="1"/>
    <col min="6" max="6" width="9.46484375" customWidth="1"/>
    <col min="7" max="9" width="9.46484375" bestFit="1" customWidth="1"/>
    <col min="10" max="12" width="9.46484375" customWidth="1"/>
    <col min="14" max="14" width="1.59765625" customWidth="1"/>
    <col min="15" max="15" width="10.53125" bestFit="1" customWidth="1"/>
    <col min="17" max="17" width="1.59765625" customWidth="1"/>
    <col min="18" max="22" width="10.59765625" customWidth="1"/>
  </cols>
  <sheetData>
    <row r="1" spans="2:22" ht="13.15" thickBot="1"/>
    <row r="2" spans="2:22" ht="13.5" thickBot="1">
      <c r="B2" s="112" t="s">
        <v>231</v>
      </c>
      <c r="C2" s="113" t="s">
        <v>230</v>
      </c>
      <c r="E2" s="275" t="s">
        <v>268</v>
      </c>
      <c r="F2" s="276"/>
      <c r="G2" s="276"/>
      <c r="H2" s="276"/>
      <c r="I2" s="276"/>
      <c r="J2" s="276"/>
      <c r="K2" s="276"/>
      <c r="L2" s="276"/>
      <c r="M2" s="277"/>
      <c r="O2" s="3" t="s">
        <v>269</v>
      </c>
      <c r="P2" s="163">
        <v>89.5</v>
      </c>
      <c r="R2" s="164" t="s">
        <v>234</v>
      </c>
      <c r="S2" s="164" t="s">
        <v>271</v>
      </c>
      <c r="T2" s="114" t="s">
        <v>272</v>
      </c>
      <c r="U2" s="164" t="s">
        <v>273</v>
      </c>
      <c r="V2" s="114" t="s">
        <v>272</v>
      </c>
    </row>
    <row r="3" spans="2:22" ht="13.5" thickBot="1">
      <c r="B3" s="115" t="s">
        <v>232</v>
      </c>
      <c r="C3" s="116" t="s">
        <v>297</v>
      </c>
      <c r="E3" s="117"/>
      <c r="F3" s="118" t="s">
        <v>254</v>
      </c>
      <c r="G3" s="118" t="s">
        <v>255</v>
      </c>
      <c r="H3" s="118" t="s">
        <v>256</v>
      </c>
      <c r="I3" s="118" t="s">
        <v>257</v>
      </c>
      <c r="J3" s="118" t="s">
        <v>258</v>
      </c>
      <c r="K3" s="118" t="s">
        <v>259</v>
      </c>
      <c r="L3" s="118" t="s">
        <v>260</v>
      </c>
      <c r="M3" s="119" t="s">
        <v>261</v>
      </c>
      <c r="O3" s="3" t="s">
        <v>270</v>
      </c>
      <c r="P3" s="163">
        <v>85</v>
      </c>
      <c r="R3" s="112">
        <v>102</v>
      </c>
      <c r="S3" s="165">
        <f ca="1">$C$21/R3-1</f>
        <v>5.3923580437549301E-2</v>
      </c>
      <c r="T3" s="120">
        <f ca="1">S3/0.5</f>
        <v>0.1078471608750986</v>
      </c>
      <c r="U3" s="255">
        <f ca="1">$C$28/R3-1</f>
        <v>0.89428214877382595</v>
      </c>
      <c r="V3" s="120">
        <f ca="1">($C$28/R3)^(1/2.5)-1</f>
        <v>0.29115346966809819</v>
      </c>
    </row>
    <row r="4" spans="2:22" ht="13.5" thickBot="1">
      <c r="B4" s="273" t="s">
        <v>233</v>
      </c>
      <c r="C4" s="274"/>
      <c r="E4" s="112" t="s">
        <v>266</v>
      </c>
      <c r="F4" s="121">
        <f>'ROAD-US'!F3</f>
        <v>910.73900000000003</v>
      </c>
      <c r="G4" s="121">
        <f>'ROAD-US'!K3</f>
        <v>1301.674</v>
      </c>
      <c r="H4" s="121">
        <f>'ROAD-US'!P3</f>
        <v>1563.548</v>
      </c>
      <c r="I4" s="122">
        <f>'ROAD-US'!U3</f>
        <v>1823.8889999999999</v>
      </c>
      <c r="J4" s="123">
        <f ca="1">'ROAD-US'!Z3</f>
        <v>2812.4053200000003</v>
      </c>
      <c r="K4" s="123">
        <f ca="1">'ROAD-US'!AA3</f>
        <v>3206.1420648000008</v>
      </c>
      <c r="L4" s="123">
        <f ca="1">'ROAD-US'!AB3</f>
        <v>3719.1247951680007</v>
      </c>
      <c r="M4" s="124">
        <f ca="1">'ROAD-US'!AC3</f>
        <v>4314.1847623948806</v>
      </c>
      <c r="R4" s="129">
        <v>101</v>
      </c>
      <c r="S4" s="166">
        <f t="shared" ref="S4:S36" ca="1" si="0">$C$21/R4-1</f>
        <v>6.4358467372574557E-2</v>
      </c>
      <c r="T4" s="126">
        <f t="shared" ref="T4:T36" ca="1" si="1">S4/0.5</f>
        <v>0.12871693474514911</v>
      </c>
      <c r="U4" s="125">
        <f t="shared" ref="U4:U36" ca="1" si="2">$C$28/R4-1</f>
        <v>0.91303741757356693</v>
      </c>
      <c r="V4" s="126">
        <f t="shared" ref="V4:V36" ca="1" si="3">($C$28/R4)^(1/2.5)-1</f>
        <v>0.29625183989521053</v>
      </c>
    </row>
    <row r="5" spans="2:22" ht="13.15" thickBot="1">
      <c r="B5" s="112" t="s">
        <v>234</v>
      </c>
      <c r="C5" s="127">
        <v>102.47</v>
      </c>
      <c r="E5" s="115" t="s">
        <v>263</v>
      </c>
      <c r="F5" s="128">
        <f>'ROAD-US'!F6</f>
        <v>0.15917442110582058</v>
      </c>
      <c r="G5" s="128">
        <f>G4/F4-1</f>
        <v>0.4292503121091773</v>
      </c>
      <c r="H5" s="128">
        <f t="shared" ref="H5:M5" si="4">H4/G4-1</f>
        <v>0.20118247733303418</v>
      </c>
      <c r="I5" s="128">
        <f t="shared" si="4"/>
        <v>0.16650656071959413</v>
      </c>
      <c r="J5" s="233">
        <f t="shared" ca="1" si="4"/>
        <v>0.54198271934311815</v>
      </c>
      <c r="K5" s="233">
        <f t="shared" ca="1" si="4"/>
        <v>0.14000000000000012</v>
      </c>
      <c r="L5" s="233">
        <f t="shared" ca="1" si="4"/>
        <v>0.15999999999999992</v>
      </c>
      <c r="M5" s="234">
        <f t="shared" ca="1" si="4"/>
        <v>0.15999999999999992</v>
      </c>
      <c r="R5" s="129">
        <v>100</v>
      </c>
      <c r="S5" s="166">
        <f t="shared" ca="1" si="0"/>
        <v>7.5002052046300394E-2</v>
      </c>
      <c r="T5" s="126">
        <f t="shared" ca="1" si="1"/>
        <v>0.15000410409260079</v>
      </c>
      <c r="U5" s="125">
        <f t="shared" ca="1" si="2"/>
        <v>0.93216779174930253</v>
      </c>
      <c r="V5" s="126">
        <f t="shared" ca="1" si="3"/>
        <v>0.30142137465744279</v>
      </c>
    </row>
    <row r="6" spans="2:22">
      <c r="B6" s="129" t="s">
        <v>235</v>
      </c>
      <c r="C6" s="130">
        <v>56.31</v>
      </c>
      <c r="E6" s="112" t="s">
        <v>267</v>
      </c>
      <c r="F6" s="169">
        <f>F4</f>
        <v>910.73900000000003</v>
      </c>
      <c r="G6" s="169">
        <f>G4</f>
        <v>1301.674</v>
      </c>
      <c r="H6" s="169">
        <f>H4</f>
        <v>1563.548</v>
      </c>
      <c r="I6" s="169">
        <f>I4</f>
        <v>1823.8889999999999</v>
      </c>
      <c r="J6" s="170">
        <v>2701</v>
      </c>
      <c r="K6" s="170">
        <v>3016</v>
      </c>
      <c r="L6" s="170">
        <v>3443</v>
      </c>
      <c r="M6" s="171"/>
      <c r="R6" s="129">
        <v>99</v>
      </c>
      <c r="S6" s="166">
        <f t="shared" ca="1" si="0"/>
        <v>8.5860658632626707E-2</v>
      </c>
      <c r="T6" s="126">
        <f t="shared" ca="1" si="1"/>
        <v>0.17172131726525341</v>
      </c>
      <c r="U6" s="125">
        <f t="shared" ca="1" si="2"/>
        <v>0.95168463813060855</v>
      </c>
      <c r="V6" s="126">
        <f t="shared" ca="1" si="3"/>
        <v>0.3066637939728607</v>
      </c>
    </row>
    <row r="7" spans="2:22" ht="13.15" thickBot="1">
      <c r="B7" s="129" t="s">
        <v>236</v>
      </c>
      <c r="C7" s="132">
        <f>C5*C6</f>
        <v>5770.0857000000005</v>
      </c>
      <c r="E7" s="115" t="s">
        <v>263</v>
      </c>
      <c r="F7" s="128">
        <f>F5</f>
        <v>0.15917442110582058</v>
      </c>
      <c r="G7" s="128">
        <f>G5</f>
        <v>0.4292503121091773</v>
      </c>
      <c r="H7" s="128">
        <f t="shared" ref="H7:I7" si="5">H5</f>
        <v>0.20118247733303418</v>
      </c>
      <c r="I7" s="128">
        <f t="shared" si="5"/>
        <v>0.16650656071959413</v>
      </c>
      <c r="J7" s="167">
        <f>J6/I6-1</f>
        <v>0.48090152416073573</v>
      </c>
      <c r="K7" s="167">
        <f t="shared" ref="K7:L7" si="6">K6/J6-1</f>
        <v>0.11662347278785634</v>
      </c>
      <c r="L7" s="167">
        <f t="shared" si="6"/>
        <v>0.14157824933687002</v>
      </c>
      <c r="M7" s="168"/>
      <c r="R7" s="129">
        <v>98</v>
      </c>
      <c r="S7" s="166">
        <f t="shared" ca="1" si="0"/>
        <v>9.6940869435000465E-2</v>
      </c>
      <c r="T7" s="126">
        <f t="shared" ca="1" si="1"/>
        <v>0.19388173887000093</v>
      </c>
      <c r="U7" s="125">
        <f t="shared" ca="1" si="2"/>
        <v>0.97159978749928833</v>
      </c>
      <c r="V7" s="126">
        <f t="shared" ca="1" si="3"/>
        <v>0.31198087735284052</v>
      </c>
    </row>
    <row r="8" spans="2:22" ht="13.15" thickBot="1">
      <c r="B8" s="129" t="s">
        <v>237</v>
      </c>
      <c r="C8" s="130">
        <f>'ROAD-US'!V113</f>
        <v>1220.8510000000001</v>
      </c>
      <c r="I8" s="131"/>
      <c r="J8" s="131"/>
      <c r="K8" s="131"/>
      <c r="L8" s="131"/>
      <c r="M8" s="131"/>
      <c r="R8" s="129">
        <v>97</v>
      </c>
      <c r="S8" s="166">
        <f t="shared" ca="1" si="0"/>
        <v>0.10824953819206229</v>
      </c>
      <c r="T8" s="126">
        <f t="shared" ca="1" si="1"/>
        <v>0.21649907638412458</v>
      </c>
      <c r="U8" s="125">
        <f t="shared" ca="1" si="2"/>
        <v>0.99192555850443553</v>
      </c>
      <c r="V8" s="126">
        <f t="shared" ca="1" si="3"/>
        <v>0.31737446649248713</v>
      </c>
    </row>
    <row r="9" spans="2:22">
      <c r="B9" s="129" t="s">
        <v>211</v>
      </c>
      <c r="C9" s="130">
        <f>'ROAD-US'!V114</f>
        <v>133.06799999999998</v>
      </c>
      <c r="E9" s="112" t="s">
        <v>35</v>
      </c>
      <c r="F9" s="133">
        <f>'ROAD-US'!F40</f>
        <v>84.275000000000006</v>
      </c>
      <c r="G9" s="133">
        <f>'ROAD-US'!K40</f>
        <v>109.74299999999999</v>
      </c>
      <c r="H9" s="133">
        <f>'ROAD-US'!P40</f>
        <v>172.60899999999998</v>
      </c>
      <c r="I9" s="133">
        <f>'ROAD-US'!U40</f>
        <v>220.57600000000002</v>
      </c>
      <c r="J9" s="172">
        <f ca="1">'ROAD-US'!Z40</f>
        <v>423.73279430799994</v>
      </c>
      <c r="K9" s="172">
        <f ca="1">'ROAD-US'!AA40</f>
        <v>502.95125664920016</v>
      </c>
      <c r="L9" s="172">
        <f ca="1">'ROAD-US'!AB40</f>
        <v>609.18533127924798</v>
      </c>
      <c r="M9" s="173">
        <f ca="1">'ROAD-US'!AC40</f>
        <v>731.83667438205771</v>
      </c>
      <c r="R9" s="129">
        <v>96</v>
      </c>
      <c r="S9" s="166">
        <f t="shared" ca="1" si="0"/>
        <v>0.11979380421489627</v>
      </c>
      <c r="T9" s="126">
        <f t="shared" ca="1" si="1"/>
        <v>0.23958760842979254</v>
      </c>
      <c r="U9" s="125">
        <f t="shared" ca="1" si="2"/>
        <v>1.0126747830721903</v>
      </c>
      <c r="V9" s="126">
        <f t="shared" ca="1" si="3"/>
        <v>0.32284646811192497</v>
      </c>
    </row>
    <row r="10" spans="2:22" ht="13.15" thickBot="1">
      <c r="B10" s="129" t="s">
        <v>212</v>
      </c>
      <c r="C10" s="130">
        <f>C8-C9</f>
        <v>1087.7830000000001</v>
      </c>
      <c r="E10" s="115" t="s">
        <v>36</v>
      </c>
      <c r="F10" s="135">
        <f>F9/F4</f>
        <v>9.2534743763032001E-2</v>
      </c>
      <c r="G10" s="135">
        <f t="shared" ref="G10:M10" si="7">G9/G4</f>
        <v>8.4309128091980018E-2</v>
      </c>
      <c r="H10" s="135">
        <f t="shared" si="7"/>
        <v>0.11039571538577644</v>
      </c>
      <c r="I10" s="135">
        <f t="shared" si="7"/>
        <v>0.12093718422557515</v>
      </c>
      <c r="J10" s="235">
        <f t="shared" ca="1" si="7"/>
        <v>0.1506656210947574</v>
      </c>
      <c r="K10" s="235">
        <f t="shared" ca="1" si="7"/>
        <v>0.15687116992446007</v>
      </c>
      <c r="L10" s="235">
        <f t="shared" ca="1" si="7"/>
        <v>0.1637980344382958</v>
      </c>
      <c r="M10" s="236">
        <f t="shared" ca="1" si="7"/>
        <v>0.16963498660539567</v>
      </c>
      <c r="R10" s="129">
        <v>95</v>
      </c>
      <c r="S10" s="166">
        <f t="shared" ca="1" si="0"/>
        <v>0.13158110741715823</v>
      </c>
      <c r="T10" s="126">
        <f t="shared" ca="1" si="1"/>
        <v>0.26316221483431645</v>
      </c>
      <c r="U10" s="125">
        <f t="shared" ca="1" si="2"/>
        <v>1.0338608334203183</v>
      </c>
      <c r="V10" s="126">
        <f t="shared" ca="1" si="3"/>
        <v>0.32839885695858961</v>
      </c>
    </row>
    <row r="11" spans="2:22" ht="13.15" thickBot="1">
      <c r="B11" s="115" t="s">
        <v>238</v>
      </c>
      <c r="C11" s="140">
        <f>C7+C10</f>
        <v>6857.8687000000009</v>
      </c>
      <c r="R11" s="129">
        <v>94</v>
      </c>
      <c r="S11" s="166">
        <f t="shared" ca="1" si="0"/>
        <v>0.14361920430457475</v>
      </c>
      <c r="T11" s="126">
        <f t="shared" ca="1" si="1"/>
        <v>0.28723840860914951</v>
      </c>
      <c r="U11" s="125">
        <f t="shared" ca="1" si="2"/>
        <v>1.0554976507971303</v>
      </c>
      <c r="V11" s="126">
        <f t="shared" ca="1" si="3"/>
        <v>0.33403367898144865</v>
      </c>
    </row>
    <row r="12" spans="2:22" ht="13.15" thickBot="1">
      <c r="E12" s="136" t="s">
        <v>262</v>
      </c>
      <c r="F12" s="137">
        <f>'ROAD-US'!F62</f>
        <v>0.39</v>
      </c>
      <c r="G12" s="137">
        <f>'ROAD-US'!K62</f>
        <v>0.41</v>
      </c>
      <c r="H12" s="137">
        <f>'ROAD-US'!P62</f>
        <v>0.94</v>
      </c>
      <c r="I12" s="137">
        <f>'ROAD-US'!U62</f>
        <v>1.31</v>
      </c>
      <c r="J12" s="138">
        <f ca="1">'ROAD-US'!Z62</f>
        <v>2.3293017272351872</v>
      </c>
      <c r="K12" s="138">
        <f ca="1">'ROAD-US'!AA62</f>
        <v>3.0714344344180011</v>
      </c>
      <c r="L12" s="138">
        <f ca="1">'ROAD-US'!AB62</f>
        <v>4.1914357233990014</v>
      </c>
      <c r="M12" s="139">
        <f ca="1">'ROAD-US'!AC62</f>
        <v>5.5204794049980075</v>
      </c>
      <c r="R12" s="129">
        <v>93</v>
      </c>
      <c r="S12" s="166">
        <f t="shared" ca="1" si="0"/>
        <v>0.15591618499602178</v>
      </c>
      <c r="T12" s="126">
        <f t="shared" ca="1" si="1"/>
        <v>0.31183236999204356</v>
      </c>
      <c r="U12" s="125">
        <f t="shared" ca="1" si="2"/>
        <v>1.0775997760745186</v>
      </c>
      <c r="V12" s="126">
        <f t="shared" ca="1" si="3"/>
        <v>0.33975305468894557</v>
      </c>
    </row>
    <row r="13" spans="2:22" ht="13.5" thickBot="1">
      <c r="B13" s="271" t="s">
        <v>239</v>
      </c>
      <c r="C13" s="272"/>
      <c r="E13" s="141" t="s">
        <v>263</v>
      </c>
      <c r="F13" s="142">
        <f>'ROAD-US'!F62/'ROAD-US'!E62-1</f>
        <v>-0.5</v>
      </c>
      <c r="G13" s="142">
        <f>G12/F12-1</f>
        <v>5.12820512820511E-2</v>
      </c>
      <c r="H13" s="142">
        <f t="shared" ref="H13:M13" si="8">H12/G12-1</f>
        <v>1.2926829268292681</v>
      </c>
      <c r="I13" s="142">
        <f t="shared" si="8"/>
        <v>0.39361702127659592</v>
      </c>
      <c r="J13" s="237">
        <f t="shared" ca="1" si="8"/>
        <v>0.7780929215535779</v>
      </c>
      <c r="K13" s="237">
        <f t="shared" ca="1" si="8"/>
        <v>0.31860737426391883</v>
      </c>
      <c r="L13" s="237">
        <f t="shared" ca="1" si="8"/>
        <v>0.36465088638404453</v>
      </c>
      <c r="M13" s="238">
        <f t="shared" ca="1" si="8"/>
        <v>0.31708554521772125</v>
      </c>
      <c r="R13" s="129">
        <v>92</v>
      </c>
      <c r="S13" s="166">
        <f t="shared" ca="1" si="0"/>
        <v>0.16848049135467424</v>
      </c>
      <c r="T13" s="126">
        <f t="shared" ca="1" si="1"/>
        <v>0.33696098270934849</v>
      </c>
      <c r="U13" s="125">
        <f t="shared" ca="1" si="2"/>
        <v>1.1001823823361985</v>
      </c>
      <c r="V13" s="126">
        <f t="shared" ca="1" si="3"/>
        <v>0.34555918270340991</v>
      </c>
    </row>
    <row r="14" spans="2:22" ht="13.5" thickBot="1">
      <c r="B14" s="112" t="s">
        <v>240</v>
      </c>
      <c r="C14" s="113">
        <v>2</v>
      </c>
      <c r="E14" s="112" t="s">
        <v>264</v>
      </c>
      <c r="F14" s="133">
        <v>0.39</v>
      </c>
      <c r="G14" s="133">
        <v>0.41</v>
      </c>
      <c r="H14" s="133">
        <v>0.94</v>
      </c>
      <c r="I14" s="121">
        <v>1.31</v>
      </c>
      <c r="J14" s="174">
        <v>2.0499999999999998</v>
      </c>
      <c r="K14" s="174">
        <v>2.72</v>
      </c>
      <c r="L14" s="174">
        <v>3.76</v>
      </c>
      <c r="M14" s="175"/>
      <c r="R14" s="129">
        <v>91</v>
      </c>
      <c r="S14" s="166">
        <f t="shared" ca="1" si="0"/>
        <v>0.18132093631461577</v>
      </c>
      <c r="T14" s="126">
        <f t="shared" ca="1" si="1"/>
        <v>0.36264187262923153</v>
      </c>
      <c r="U14" s="125">
        <f t="shared" ca="1" si="2"/>
        <v>1.1232613096146182</v>
      </c>
      <c r="V14" s="126">
        <f t="shared" ca="1" si="3"/>
        <v>0.35145434352569849</v>
      </c>
    </row>
    <row r="15" spans="2:22" ht="13.5" thickBot="1">
      <c r="B15" s="129" t="s">
        <v>215</v>
      </c>
      <c r="C15" s="113">
        <v>2</v>
      </c>
      <c r="E15" s="115" t="s">
        <v>263</v>
      </c>
      <c r="F15" s="135">
        <v>-0.5</v>
      </c>
      <c r="G15" s="135">
        <v>5.12820512820511E-2</v>
      </c>
      <c r="H15" s="135">
        <v>1.2926829268292681</v>
      </c>
      <c r="I15" s="135">
        <v>0.39361702127659592</v>
      </c>
      <c r="J15" s="176">
        <f>J14/I14-1</f>
        <v>0.56488549618320594</v>
      </c>
      <c r="K15" s="176">
        <f t="shared" ref="K15:L15" si="9">K14/J14-1</f>
        <v>0.32682926829268322</v>
      </c>
      <c r="L15" s="176">
        <f t="shared" si="9"/>
        <v>0.38235294117647034</v>
      </c>
      <c r="M15" s="177"/>
      <c r="R15" s="129">
        <v>90</v>
      </c>
      <c r="S15" s="166">
        <f t="shared" ca="1" si="0"/>
        <v>0.19444672449588918</v>
      </c>
      <c r="T15" s="126">
        <f t="shared" ca="1" si="1"/>
        <v>0.38889344899177836</v>
      </c>
      <c r="U15" s="125">
        <f t="shared" ca="1" si="2"/>
        <v>1.1468531019436696</v>
      </c>
      <c r="V15" s="126">
        <f t="shared" ca="1" si="3"/>
        <v>0.35744090352497704</v>
      </c>
    </row>
    <row r="16" spans="2:22" ht="13.5" thickBot="1">
      <c r="B16" s="115" t="s">
        <v>241</v>
      </c>
      <c r="C16" s="113">
        <v>2</v>
      </c>
      <c r="E16" s="144" t="s">
        <v>265</v>
      </c>
      <c r="F16" s="23"/>
      <c r="G16" s="23"/>
      <c r="H16" s="23"/>
      <c r="I16" s="145"/>
      <c r="J16" s="178">
        <f ca="1">J12-J14</f>
        <v>0.27930172723518742</v>
      </c>
      <c r="K16" s="178">
        <f t="shared" ref="K16:L16" ca="1" si="10">K12-K14</f>
        <v>0.35143443441800093</v>
      </c>
      <c r="L16" s="178">
        <f t="shared" ca="1" si="10"/>
        <v>0.4314357233990016</v>
      </c>
      <c r="M16" s="179"/>
      <c r="R16" s="129">
        <v>89</v>
      </c>
      <c r="S16" s="166">
        <f t="shared" ca="1" si="0"/>
        <v>0.20786747420932628</v>
      </c>
      <c r="T16" s="126">
        <f t="shared" ca="1" si="1"/>
        <v>0.41573494841865255</v>
      </c>
      <c r="U16" s="125">
        <f t="shared" ca="1" si="2"/>
        <v>1.1709750469093287</v>
      </c>
      <c r="V16" s="126">
        <f t="shared" ca="1" si="3"/>
        <v>0.3635213191697737</v>
      </c>
    </row>
    <row r="17" spans="2:22" ht="13.15" thickBot="1">
      <c r="R17" s="129">
        <v>88</v>
      </c>
      <c r="S17" s="166">
        <f t="shared" ca="1" si="0"/>
        <v>0.22159324096170496</v>
      </c>
      <c r="T17" s="126">
        <f t="shared" ca="1" si="1"/>
        <v>0.44318648192340993</v>
      </c>
      <c r="U17" s="125">
        <f t="shared" ca="1" si="2"/>
        <v>1.1956452178969346</v>
      </c>
      <c r="V17" s="126">
        <f t="shared" ca="1" si="3"/>
        <v>0.36969814151779201</v>
      </c>
    </row>
    <row r="18" spans="2:22" ht="13.5" thickBot="1">
      <c r="B18" s="271" t="s">
        <v>75</v>
      </c>
      <c r="C18" s="272"/>
      <c r="E18" s="117" t="s">
        <v>241</v>
      </c>
      <c r="F18" s="118" t="s">
        <v>254</v>
      </c>
      <c r="G18" s="118" t="s">
        <v>255</v>
      </c>
      <c r="H18" s="118" t="s">
        <v>256</v>
      </c>
      <c r="I18" s="118" t="s">
        <v>257</v>
      </c>
      <c r="J18" s="118" t="s">
        <v>258</v>
      </c>
      <c r="K18" s="118" t="s">
        <v>259</v>
      </c>
      <c r="L18" s="118" t="s">
        <v>260</v>
      </c>
      <c r="M18" s="119" t="s">
        <v>261</v>
      </c>
      <c r="R18" s="129">
        <v>87</v>
      </c>
      <c r="S18" s="166">
        <f t="shared" ca="1" si="0"/>
        <v>0.23563454258195438</v>
      </c>
      <c r="T18" s="126">
        <f t="shared" ca="1" si="1"/>
        <v>0.47126908516390875</v>
      </c>
      <c r="U18" s="125">
        <f t="shared" ca="1" si="2"/>
        <v>1.220882519252072</v>
      </c>
      <c r="V18" s="126">
        <f t="shared" ca="1" si="3"/>
        <v>0.37597402098345833</v>
      </c>
    </row>
    <row r="19" spans="2:22">
      <c r="B19" s="112" t="s">
        <v>76</v>
      </c>
      <c r="C19" s="134">
        <f ca="1">'ROAD-US'!AA62</f>
        <v>3.0714344344180011</v>
      </c>
      <c r="E19" s="112" t="s">
        <v>250</v>
      </c>
      <c r="F19" s="147">
        <f>$C$11/F4</f>
        <v>7.5300044249779585</v>
      </c>
      <c r="G19" s="147">
        <f t="shared" ref="G19:M19" si="11">$C$11/G4</f>
        <v>5.2684994092222794</v>
      </c>
      <c r="H19" s="147">
        <f t="shared" si="11"/>
        <v>4.3860941269471745</v>
      </c>
      <c r="I19" s="147">
        <f t="shared" si="11"/>
        <v>3.7600252537298053</v>
      </c>
      <c r="J19" s="147">
        <f t="shared" ca="1" si="11"/>
        <v>2.4384354030449638</v>
      </c>
      <c r="K19" s="147">
        <f t="shared" ca="1" si="11"/>
        <v>2.138978423723652</v>
      </c>
      <c r="L19" s="147">
        <f t="shared" ca="1" si="11"/>
        <v>1.8439469170031484</v>
      </c>
      <c r="M19" s="148">
        <f t="shared" ca="1" si="11"/>
        <v>1.5896094112096109</v>
      </c>
      <c r="R19" s="129">
        <v>86</v>
      </c>
      <c r="S19" s="166">
        <f t="shared" ca="1" si="0"/>
        <v>0.25000238610034931</v>
      </c>
      <c r="T19" s="126">
        <f t="shared" ca="1" si="1"/>
        <v>0.50000477220069861</v>
      </c>
      <c r="U19" s="125">
        <f t="shared" ca="1" si="2"/>
        <v>1.246706734592212</v>
      </c>
      <c r="V19" s="126">
        <f t="shared" ca="1" si="3"/>
        <v>0.3823517124037954</v>
      </c>
    </row>
    <row r="20" spans="2:22">
      <c r="B20" s="129" t="s">
        <v>77</v>
      </c>
      <c r="C20" s="186">
        <v>35</v>
      </c>
      <c r="E20" s="129" t="s">
        <v>251</v>
      </c>
      <c r="F20" s="149">
        <f>$C$11/F9</f>
        <v>81.374888163749631</v>
      </c>
      <c r="G20" s="149">
        <f t="shared" ref="G20:M20" si="12">$C$11/G9</f>
        <v>62.490260882243071</v>
      </c>
      <c r="H20" s="149">
        <f t="shared" si="12"/>
        <v>39.730655411942607</v>
      </c>
      <c r="I20" s="149">
        <f t="shared" si="12"/>
        <v>31.090729272450314</v>
      </c>
      <c r="J20" s="149">
        <f t="shared" ca="1" si="12"/>
        <v>16.184418086401877</v>
      </c>
      <c r="K20" s="149">
        <f t="shared" ca="1" si="12"/>
        <v>13.635255125295862</v>
      </c>
      <c r="L20" s="149">
        <f t="shared" ca="1" si="12"/>
        <v>11.257442272286729</v>
      </c>
      <c r="M20" s="150">
        <f t="shared" ca="1" si="12"/>
        <v>9.3707639150369069</v>
      </c>
      <c r="R20" s="129">
        <v>85</v>
      </c>
      <c r="S20" s="166">
        <f t="shared" ca="1" si="0"/>
        <v>0.26470829652505934</v>
      </c>
      <c r="T20" s="126">
        <f t="shared" ca="1" si="1"/>
        <v>0.52941659305011868</v>
      </c>
      <c r="U20" s="125">
        <f t="shared" ca="1" si="2"/>
        <v>1.2731385785285911</v>
      </c>
      <c r="V20" s="126">
        <f t="shared" ca="1" si="3"/>
        <v>0.38883408042501322</v>
      </c>
    </row>
    <row r="21" spans="2:22">
      <c r="B21" s="129" t="s">
        <v>78</v>
      </c>
      <c r="C21" s="152">
        <f ca="1">C19*C20</f>
        <v>107.50020520463003</v>
      </c>
      <c r="E21" s="129" t="s">
        <v>252</v>
      </c>
      <c r="F21" s="149">
        <f>$C$5/F12</f>
        <v>262.74358974358972</v>
      </c>
      <c r="G21" s="149">
        <f t="shared" ref="G21:M21" si="13">$C$5/G12</f>
        <v>249.92682926829269</v>
      </c>
      <c r="H21" s="149">
        <f t="shared" si="13"/>
        <v>109.01063829787235</v>
      </c>
      <c r="I21" s="149">
        <f t="shared" si="13"/>
        <v>78.221374045801525</v>
      </c>
      <c r="J21" s="149">
        <f t="shared" ca="1" si="13"/>
        <v>43.991724559286219</v>
      </c>
      <c r="K21" s="149">
        <f t="shared" ca="1" si="13"/>
        <v>33.362261896831534</v>
      </c>
      <c r="L21" s="149">
        <f t="shared" ca="1" si="13"/>
        <v>24.447470213596169</v>
      </c>
      <c r="M21" s="150">
        <f t="shared" ca="1" si="13"/>
        <v>18.561793728861304</v>
      </c>
      <c r="R21" s="129">
        <v>84</v>
      </c>
      <c r="S21" s="166">
        <f t="shared" ca="1" si="0"/>
        <v>0.27976434767416714</v>
      </c>
      <c r="T21" s="126">
        <f t="shared" ca="1" si="1"/>
        <v>0.55952869534833427</v>
      </c>
      <c r="U21" s="125">
        <f t="shared" ca="1" si="2"/>
        <v>1.300199752082503</v>
      </c>
      <c r="V21" s="126">
        <f t="shared" ca="1" si="3"/>
        <v>0.39542410523416005</v>
      </c>
    </row>
    <row r="22" spans="2:22" ht="13.15" thickBot="1">
      <c r="B22" s="129" t="s">
        <v>79</v>
      </c>
      <c r="C22" s="161">
        <f ca="1">C21/C5-1</f>
        <v>4.9089540398458364E-2</v>
      </c>
      <c r="E22" s="115" t="s">
        <v>253</v>
      </c>
      <c r="F22" s="153">
        <f>$C$5/F14</f>
        <v>262.74358974358972</v>
      </c>
      <c r="G22" s="153">
        <f t="shared" ref="G22:L22" si="14">$C$5/G14</f>
        <v>249.92682926829269</v>
      </c>
      <c r="H22" s="153">
        <f t="shared" si="14"/>
        <v>109.01063829787235</v>
      </c>
      <c r="I22" s="153">
        <f t="shared" si="14"/>
        <v>78.221374045801525</v>
      </c>
      <c r="J22" s="153">
        <f t="shared" si="14"/>
        <v>49.985365853658543</v>
      </c>
      <c r="K22" s="153">
        <f t="shared" si="14"/>
        <v>37.672794117647058</v>
      </c>
      <c r="L22" s="153">
        <f t="shared" si="14"/>
        <v>27.252659574468087</v>
      </c>
      <c r="M22" s="180"/>
      <c r="R22" s="129">
        <v>83</v>
      </c>
      <c r="S22" s="166">
        <f t="shared" ca="1" si="0"/>
        <v>0.29518319523650649</v>
      </c>
      <c r="T22" s="126">
        <f t="shared" ca="1" si="1"/>
        <v>0.59036639047301298</v>
      </c>
      <c r="U22" s="125">
        <f t="shared" ca="1" si="2"/>
        <v>1.3279130021075933</v>
      </c>
      <c r="V22" s="126">
        <f t="shared" ca="1" si="3"/>
        <v>0.40212488866235296</v>
      </c>
    </row>
    <row r="23" spans="2:22" ht="13.15" thickBot="1">
      <c r="B23" s="115" t="s">
        <v>80</v>
      </c>
      <c r="C23" s="143">
        <f ca="1">C22/(2/4)</f>
        <v>9.8179080796916729E-2</v>
      </c>
      <c r="F23" s="149"/>
      <c r="G23" s="149"/>
      <c r="H23" s="149"/>
      <c r="I23" s="149"/>
      <c r="J23" s="149"/>
      <c r="K23" s="149"/>
      <c r="L23" s="149"/>
      <c r="M23" s="181"/>
      <c r="R23" s="129">
        <v>82</v>
      </c>
      <c r="S23" s="166">
        <f t="shared" ca="1" si="0"/>
        <v>0.31097811225158578</v>
      </c>
      <c r="T23" s="126">
        <f t="shared" ca="1" si="1"/>
        <v>0.62195622450317156</v>
      </c>
      <c r="U23" s="125">
        <f t="shared" ca="1" si="2"/>
        <v>1.3563021850601249</v>
      </c>
      <c r="V23" s="126">
        <f t="shared" ca="1" si="3"/>
        <v>0.40893966068847831</v>
      </c>
    </row>
    <row r="24" spans="2:22" ht="13.15" thickBot="1">
      <c r="R24" s="129">
        <v>81</v>
      </c>
      <c r="S24" s="166">
        <f t="shared" ca="1" si="0"/>
        <v>0.32716302721765467</v>
      </c>
      <c r="T24" s="126">
        <f t="shared" ca="1" si="1"/>
        <v>0.65432605443530933</v>
      </c>
      <c r="U24" s="125">
        <f t="shared" ca="1" si="2"/>
        <v>1.3853923354929663</v>
      </c>
      <c r="V24" s="126">
        <f t="shared" ca="1" si="3"/>
        <v>0.41587178637489597</v>
      </c>
    </row>
    <row r="25" spans="2:22" ht="13.5" thickBot="1">
      <c r="B25" s="271" t="s">
        <v>242</v>
      </c>
      <c r="C25" s="272"/>
      <c r="E25" s="146" t="s">
        <v>246</v>
      </c>
      <c r="F25" s="154">
        <v>2025</v>
      </c>
      <c r="G25" s="154">
        <v>2026</v>
      </c>
      <c r="H25" s="154">
        <v>2027</v>
      </c>
      <c r="I25" s="155">
        <v>2028</v>
      </c>
      <c r="J25" s="278"/>
      <c r="K25" s="279"/>
      <c r="R25" s="129">
        <v>80</v>
      </c>
      <c r="S25" s="166">
        <f t="shared" ca="1" si="0"/>
        <v>0.34375256505787544</v>
      </c>
      <c r="T25" s="126">
        <f t="shared" ca="1" si="1"/>
        <v>0.68750513011575087</v>
      </c>
      <c r="U25" s="125">
        <f t="shared" ca="1" si="2"/>
        <v>1.4152097396866283</v>
      </c>
      <c r="V25" s="126">
        <f t="shared" ca="1" si="3"/>
        <v>0.42292477326957356</v>
      </c>
    </row>
    <row r="26" spans="2:22" ht="13.15">
      <c r="B26" s="112" t="s">
        <v>243</v>
      </c>
      <c r="C26" s="134">
        <f ca="1">M12</f>
        <v>5.5204794049980075</v>
      </c>
      <c r="E26" s="112" t="s">
        <v>247</v>
      </c>
      <c r="F26" s="156">
        <v>40</v>
      </c>
      <c r="G26" s="156">
        <v>40</v>
      </c>
      <c r="H26" s="157">
        <v>40</v>
      </c>
      <c r="I26" s="158">
        <v>38</v>
      </c>
      <c r="J26" s="278"/>
      <c r="K26" s="279"/>
      <c r="R26" s="129">
        <v>79</v>
      </c>
      <c r="S26" s="166">
        <f t="shared" ca="1" si="0"/>
        <v>0.36076209119784863</v>
      </c>
      <c r="T26" s="126">
        <f t="shared" ca="1" si="1"/>
        <v>0.72152418239569727</v>
      </c>
      <c r="U26" s="125">
        <f t="shared" ca="1" si="2"/>
        <v>1.4457820148725347</v>
      </c>
      <c r="V26" s="126">
        <f t="shared" ca="1" si="3"/>
        <v>0.43010227931230305</v>
      </c>
    </row>
    <row r="27" spans="2:22">
      <c r="B27" s="129" t="s">
        <v>77</v>
      </c>
      <c r="C27" s="151">
        <v>35</v>
      </c>
      <c r="E27" s="129" t="s">
        <v>248</v>
      </c>
      <c r="F27">
        <v>36.5</v>
      </c>
      <c r="G27">
        <v>36</v>
      </c>
      <c r="H27">
        <v>35.5</v>
      </c>
      <c r="I27" s="151">
        <v>35</v>
      </c>
      <c r="R27" s="129">
        <v>78</v>
      </c>
      <c r="S27" s="166">
        <f t="shared" ca="1" si="0"/>
        <v>0.3782077590337185</v>
      </c>
      <c r="T27" s="126">
        <f t="shared" ca="1" si="1"/>
        <v>0.75641551806743701</v>
      </c>
      <c r="U27" s="125">
        <f t="shared" ca="1" si="2"/>
        <v>1.4771381945503879</v>
      </c>
      <c r="V27" s="126">
        <f t="shared" ca="1" si="3"/>
        <v>0.43740812128620021</v>
      </c>
    </row>
    <row r="28" spans="2:22" ht="13.15" thickBot="1">
      <c r="B28" s="129" t="s">
        <v>78</v>
      </c>
      <c r="C28" s="152">
        <f ca="1">C26*C27</f>
        <v>193.21677917493025</v>
      </c>
      <c r="E28" s="115" t="s">
        <v>249</v>
      </c>
      <c r="F28" s="159">
        <v>30</v>
      </c>
      <c r="G28" s="159">
        <v>30</v>
      </c>
      <c r="H28" s="159">
        <v>30</v>
      </c>
      <c r="I28" s="160">
        <v>30</v>
      </c>
      <c r="R28" s="129">
        <v>77</v>
      </c>
      <c r="S28" s="166">
        <f t="shared" ca="1" si="0"/>
        <v>0.39610656109909126</v>
      </c>
      <c r="T28" s="126">
        <f t="shared" ca="1" si="1"/>
        <v>0.79221312219818252</v>
      </c>
      <c r="U28" s="125">
        <f t="shared" ca="1" si="2"/>
        <v>1.5093088204536396</v>
      </c>
      <c r="V28" s="126">
        <f t="shared" ca="1" si="3"/>
        <v>0.44484628385963432</v>
      </c>
    </row>
    <row r="29" spans="2:22">
      <c r="B29" s="129" t="s">
        <v>79</v>
      </c>
      <c r="C29" s="161">
        <f ca="1">C28/C5-1</f>
        <v>0.88559362911027861</v>
      </c>
      <c r="K29" s="89"/>
      <c r="R29" s="129">
        <v>76</v>
      </c>
      <c r="S29" s="166">
        <f t="shared" ca="1" si="0"/>
        <v>0.41447638427144784</v>
      </c>
      <c r="T29" s="126">
        <f t="shared" ca="1" si="1"/>
        <v>0.82895276854289568</v>
      </c>
      <c r="U29" s="125">
        <f t="shared" ca="1" si="2"/>
        <v>1.5423260417753979</v>
      </c>
      <c r="V29" s="126">
        <f t="shared" ca="1" si="3"/>
        <v>0.45242092926812361</v>
      </c>
    </row>
    <row r="30" spans="2:22" ht="13.15" thickBot="1">
      <c r="B30" s="115" t="s">
        <v>80</v>
      </c>
      <c r="C30" s="143">
        <f ca="1">(C28/C5)^(1/2.5)-1</f>
        <v>0.28878134435581115</v>
      </c>
      <c r="R30" s="129">
        <v>75</v>
      </c>
      <c r="S30" s="166">
        <f t="shared" ca="1" si="0"/>
        <v>0.43333606939506719</v>
      </c>
      <c r="T30" s="126">
        <f t="shared" ca="1" si="1"/>
        <v>0.86667213879013438</v>
      </c>
      <c r="U30" s="125">
        <f t="shared" ca="1" si="2"/>
        <v>1.5762237223324034</v>
      </c>
      <c r="V30" s="126">
        <f t="shared" ca="1" si="3"/>
        <v>0.46013640769058406</v>
      </c>
    </row>
    <row r="31" spans="2:22" ht="13.5" thickBot="1">
      <c r="E31" s="182" t="s">
        <v>245</v>
      </c>
      <c r="F31" s="125">
        <f ca="1">C22</f>
        <v>4.9089540398458364E-2</v>
      </c>
      <c r="G31" s="125">
        <f>C36</f>
        <v>-0.21430441379049425</v>
      </c>
      <c r="R31" s="129">
        <v>74</v>
      </c>
      <c r="S31" s="166">
        <f t="shared" ca="1" si="0"/>
        <v>0.45270547573824382</v>
      </c>
      <c r="T31" s="126">
        <f t="shared" ca="1" si="1"/>
        <v>0.90541095147648765</v>
      </c>
      <c r="U31" s="125">
        <f t="shared" ca="1" si="2"/>
        <v>1.6110375564179762</v>
      </c>
      <c r="V31" s="126">
        <f t="shared" ca="1" si="3"/>
        <v>0.46799726837974953</v>
      </c>
    </row>
    <row r="32" spans="2:22" ht="13.5" thickBot="1">
      <c r="B32" s="273" t="s">
        <v>244</v>
      </c>
      <c r="C32" s="274"/>
      <c r="E32" s="183">
        <f ca="1">F31/-G31</f>
        <v>0.22906453269062718</v>
      </c>
      <c r="R32" s="129">
        <v>73</v>
      </c>
      <c r="S32" s="166">
        <f t="shared" ca="1" si="0"/>
        <v>0.47260555074835664</v>
      </c>
      <c r="T32" s="126">
        <f t="shared" ca="1" si="1"/>
        <v>0.94521110149671328</v>
      </c>
      <c r="U32" s="125">
        <f t="shared" ca="1" si="2"/>
        <v>1.6468051941771269</v>
      </c>
      <c r="V32" s="126">
        <f t="shared" ca="1" si="3"/>
        <v>0.47600827161261705</v>
      </c>
    </row>
    <row r="33" spans="2:22">
      <c r="B33" s="112" t="s">
        <v>76</v>
      </c>
      <c r="C33" s="134">
        <v>2.6836742239629348</v>
      </c>
      <c r="E33" s="184"/>
      <c r="R33" s="129">
        <v>72</v>
      </c>
      <c r="S33" s="166">
        <f t="shared" ca="1" si="0"/>
        <v>0.49305840561986169</v>
      </c>
      <c r="T33" s="126">
        <f t="shared" ca="1" si="1"/>
        <v>0.98611681123972339</v>
      </c>
      <c r="U33" s="125">
        <f t="shared" ca="1" si="2"/>
        <v>1.683566377429587</v>
      </c>
      <c r="V33" s="126">
        <f t="shared" ca="1" si="3"/>
        <v>0.4841744015335061</v>
      </c>
    </row>
    <row r="34" spans="2:22">
      <c r="B34" s="129" t="s">
        <v>77</v>
      </c>
      <c r="C34" s="151">
        <v>30</v>
      </c>
      <c r="R34" s="129">
        <v>71</v>
      </c>
      <c r="S34" s="166">
        <f t="shared" ca="1" si="0"/>
        <v>0.51408739724831043</v>
      </c>
      <c r="T34" s="126">
        <f t="shared" ca="1" si="1"/>
        <v>1.0281747944966209</v>
      </c>
      <c r="U34" s="125">
        <f t="shared" ca="1" si="2"/>
        <v>1.7213630869708485</v>
      </c>
      <c r="V34" s="126">
        <f t="shared" ca="1" si="3"/>
        <v>0.49250087996986691</v>
      </c>
    </row>
    <row r="35" spans="2:22">
      <c r="B35" s="129" t="s">
        <v>78</v>
      </c>
      <c r="C35" s="152">
        <f>C33*C34</f>
        <v>80.510226718888049</v>
      </c>
      <c r="R35" s="129">
        <v>70</v>
      </c>
      <c r="S35" s="166">
        <f t="shared" ca="1" si="0"/>
        <v>0.53571721720900056</v>
      </c>
      <c r="T35" s="126">
        <f t="shared" ca="1" si="1"/>
        <v>1.0714344344180011</v>
      </c>
      <c r="U35" s="125">
        <f t="shared" ca="1" si="2"/>
        <v>1.7602397024990037</v>
      </c>
      <c r="V35" s="126">
        <f t="shared" ca="1" si="3"/>
        <v>0.50099318130939441</v>
      </c>
    </row>
    <row r="36" spans="2:22" ht="13.15" thickBot="1">
      <c r="B36" s="115" t="s">
        <v>79</v>
      </c>
      <c r="C36" s="143">
        <f>C35/C5-1</f>
        <v>-0.21430441379049425</v>
      </c>
      <c r="R36" s="115">
        <v>69</v>
      </c>
      <c r="S36" s="185">
        <f t="shared" ca="1" si="0"/>
        <v>0.55797398847289914</v>
      </c>
      <c r="T36" s="162">
        <f t="shared" ca="1" si="1"/>
        <v>1.1159479769457983</v>
      </c>
      <c r="U36" s="135">
        <f t="shared" ca="1" si="2"/>
        <v>1.8002431764482645</v>
      </c>
      <c r="V36" s="162">
        <f t="shared" ca="1" si="3"/>
        <v>0.50965704853647353</v>
      </c>
    </row>
  </sheetData>
  <mergeCells count="8">
    <mergeCell ref="B18:C18"/>
    <mergeCell ref="B25:C25"/>
    <mergeCell ref="B32:C32"/>
    <mergeCell ref="E2:M2"/>
    <mergeCell ref="B4:C4"/>
    <mergeCell ref="B13:C13"/>
    <mergeCell ref="J25:K25"/>
    <mergeCell ref="J26:K26"/>
  </mergeCells>
  <phoneticPr fontId="4" type="noConversion"/>
  <conditionalFormatting sqref="S3:S36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3:V3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3:T36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U3:U36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V3:V3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763B7-EBE5-4CF3-BFE6-4080FC1A1F72}">
  <sheetPr>
    <outlinePr summaryBelow="0" summaryRight="0"/>
  </sheetPr>
  <dimension ref="A1:AH225"/>
  <sheetViews>
    <sheetView showGridLines="0" zoomScale="85" zoomScaleNormal="85" workbookViewId="0">
      <pane xSplit="1" topLeftCell="L1" activePane="topRight" state="frozen"/>
      <selection activeCell="A70" sqref="A70"/>
      <selection pane="topRight" activeCell="AE5" sqref="AE5"/>
    </sheetView>
  </sheetViews>
  <sheetFormatPr defaultColWidth="9.19921875" defaultRowHeight="15" customHeight="1" outlineLevelRow="1"/>
  <cols>
    <col min="1" max="1" width="82.265625" bestFit="1" customWidth="1"/>
    <col min="2" max="6" width="10.59765625" customWidth="1"/>
    <col min="7" max="10" width="10.59765625" style="31" customWidth="1"/>
    <col min="11" max="11" width="10.59765625" customWidth="1"/>
    <col min="12" max="15" width="10.59765625" style="31" customWidth="1"/>
    <col min="16" max="16" width="10.59765625" customWidth="1"/>
    <col min="17" max="20" width="10.59765625" style="31" customWidth="1"/>
    <col min="21" max="21" width="10.59765625" customWidth="1"/>
    <col min="22" max="23" width="10.59765625" style="31" customWidth="1"/>
    <col min="24" max="25" width="10.59765625" style="46" customWidth="1"/>
    <col min="26" max="32" width="10.59765625" style="47" customWidth="1"/>
    <col min="33" max="34" width="9.19921875" style="47"/>
  </cols>
  <sheetData>
    <row r="1" spans="1:34" s="3" customFormat="1" ht="15" customHeight="1">
      <c r="A1" s="4"/>
      <c r="B1" s="35" t="s">
        <v>7</v>
      </c>
      <c r="C1" s="35" t="s">
        <v>6</v>
      </c>
      <c r="D1" s="35" t="s">
        <v>5</v>
      </c>
      <c r="E1" s="35" t="s">
        <v>4</v>
      </c>
      <c r="F1" s="35" t="s">
        <v>3</v>
      </c>
      <c r="G1" s="36" t="s">
        <v>41</v>
      </c>
      <c r="H1" s="36" t="s">
        <v>42</v>
      </c>
      <c r="I1" s="36" t="s">
        <v>43</v>
      </c>
      <c r="J1" s="36" t="s">
        <v>44</v>
      </c>
      <c r="K1" s="35" t="s">
        <v>2</v>
      </c>
      <c r="L1" s="36" t="s">
        <v>45</v>
      </c>
      <c r="M1" s="36" t="s">
        <v>46</v>
      </c>
      <c r="N1" s="36" t="s">
        <v>47</v>
      </c>
      <c r="O1" s="36" t="s">
        <v>48</v>
      </c>
      <c r="P1" s="35" t="s">
        <v>1</v>
      </c>
      <c r="Q1" s="36" t="s">
        <v>49</v>
      </c>
      <c r="R1" s="36" t="s">
        <v>50</v>
      </c>
      <c r="S1" s="36" t="s">
        <v>51</v>
      </c>
      <c r="T1" s="36" t="s">
        <v>52</v>
      </c>
      <c r="U1" s="35" t="s">
        <v>0</v>
      </c>
      <c r="V1" s="36" t="s">
        <v>53</v>
      </c>
      <c r="W1" s="36" t="s">
        <v>54</v>
      </c>
      <c r="X1" s="43" t="s">
        <v>55</v>
      </c>
      <c r="Y1" s="43" t="s">
        <v>56</v>
      </c>
      <c r="Z1" s="99" t="s">
        <v>67</v>
      </c>
      <c r="AA1" s="99" t="s">
        <v>68</v>
      </c>
      <c r="AB1" s="99" t="s">
        <v>69</v>
      </c>
      <c r="AC1" s="99" t="s">
        <v>70</v>
      </c>
      <c r="AD1" s="99"/>
      <c r="AE1" s="44"/>
      <c r="AF1" s="44"/>
      <c r="AG1" s="44"/>
      <c r="AH1" s="44"/>
    </row>
    <row r="2" spans="1:34" s="10" customFormat="1" ht="15" customHeight="1">
      <c r="A2" s="11" t="s">
        <v>28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</row>
    <row r="3" spans="1:34" ht="15" customHeight="1">
      <c r="A3" s="4" t="s">
        <v>8</v>
      </c>
      <c r="B3" s="7">
        <v>568.21199999999999</v>
      </c>
      <c r="C3" s="7">
        <v>680.096</v>
      </c>
      <c r="D3" s="7">
        <v>783.23800000000006</v>
      </c>
      <c r="E3" s="7">
        <v>785.67899999999997</v>
      </c>
      <c r="F3" s="7">
        <v>910.73900000000003</v>
      </c>
      <c r="G3" s="25">
        <v>284.964</v>
      </c>
      <c r="H3" s="25">
        <v>243.38499999999999</v>
      </c>
      <c r="I3" s="25">
        <v>380.27199999999999</v>
      </c>
      <c r="J3" s="25">
        <v>393.053</v>
      </c>
      <c r="K3" s="7">
        <v>1301.674</v>
      </c>
      <c r="L3" s="25">
        <v>341.779</v>
      </c>
      <c r="M3" s="25">
        <v>324.85000000000002</v>
      </c>
      <c r="N3" s="25">
        <v>421.89299999999997</v>
      </c>
      <c r="O3" s="25">
        <v>475.02600000000001</v>
      </c>
      <c r="P3" s="7">
        <v>1563.548</v>
      </c>
      <c r="Q3" s="25">
        <v>396.505</v>
      </c>
      <c r="R3" s="25">
        <v>371.42700000000002</v>
      </c>
      <c r="S3" s="25">
        <v>517.79399999999998</v>
      </c>
      <c r="T3" s="25">
        <v>538.16300000000001</v>
      </c>
      <c r="U3" s="7">
        <v>1823.8889999999999</v>
      </c>
      <c r="V3" s="31">
        <v>561.58000000000004</v>
      </c>
      <c r="W3" s="30">
        <v>571.65</v>
      </c>
      <c r="X3" s="50">
        <f ca="1">S3*(1+X6)</f>
        <v>818.11451999999997</v>
      </c>
      <c r="Y3" s="50">
        <f ca="1">T3*(1+Y6)</f>
        <v>861.06080000000009</v>
      </c>
      <c r="Z3" s="51">
        <f ca="1">SUM(V3:Y3)</f>
        <v>2812.4053200000003</v>
      </c>
      <c r="AA3" s="51">
        <f ca="1">Z3*(1+AA6)</f>
        <v>3206.1420648000008</v>
      </c>
      <c r="AB3" s="51">
        <f ca="1">AA3*(1+AB6)</f>
        <v>3719.1247951680007</v>
      </c>
      <c r="AC3" s="51">
        <f ca="1">AB3*(1+AC6)</f>
        <v>4314.1847623948806</v>
      </c>
    </row>
    <row r="4" spans="1:34" s="15" customFormat="1" ht="15" customHeight="1">
      <c r="A4" s="13" t="s">
        <v>66</v>
      </c>
      <c r="B4" s="37"/>
      <c r="C4" s="37"/>
      <c r="D4" s="37"/>
      <c r="E4" s="37"/>
      <c r="F4" s="37"/>
      <c r="G4" s="27">
        <f>G3/$K$3</f>
        <v>0.21892117381156881</v>
      </c>
      <c r="H4" s="27">
        <f t="shared" ref="H4:J4" si="0">H3/$K$3</f>
        <v>0.18697846004452728</v>
      </c>
      <c r="I4" s="27">
        <f t="shared" si="0"/>
        <v>0.29214073569880017</v>
      </c>
      <c r="J4" s="27">
        <f t="shared" si="0"/>
        <v>0.30195963044510377</v>
      </c>
      <c r="K4" s="37"/>
      <c r="L4" s="27">
        <f>L3/$P$3</f>
        <v>0.2185919460099722</v>
      </c>
      <c r="M4" s="27">
        <f t="shared" ref="M4:O4" si="1">M3/$P$3</f>
        <v>0.20776464809522957</v>
      </c>
      <c r="N4" s="27">
        <f t="shared" si="1"/>
        <v>0.26983053926070705</v>
      </c>
      <c r="O4" s="27">
        <f t="shared" si="1"/>
        <v>0.30381286663409118</v>
      </c>
      <c r="P4" s="37"/>
      <c r="Q4" s="27">
        <f>Q3/$U$3</f>
        <v>0.21739535684463254</v>
      </c>
      <c r="R4" s="27">
        <f t="shared" ref="R4:T4" si="2">R3/$U$3</f>
        <v>0.20364561659179919</v>
      </c>
      <c r="S4" s="27">
        <f t="shared" si="2"/>
        <v>0.28389556601306332</v>
      </c>
      <c r="T4" s="27">
        <f t="shared" si="2"/>
        <v>0.29506346055050503</v>
      </c>
      <c r="U4" s="37"/>
      <c r="V4" s="82">
        <v>0.20300000000000001</v>
      </c>
      <c r="W4" s="82">
        <f ca="1">W3/Z3</f>
        <v>0.20326017588389425</v>
      </c>
      <c r="X4" s="81">
        <f ca="1">X3/Z3</f>
        <v>0.29089495535444365</v>
      </c>
      <c r="Y4" s="81">
        <f ca="1">Y3/Z3</f>
        <v>0.30616525785835164</v>
      </c>
      <c r="Z4" s="49">
        <v>1</v>
      </c>
      <c r="AA4" s="49"/>
      <c r="AB4" s="49"/>
      <c r="AC4" s="49"/>
      <c r="AD4" s="49"/>
      <c r="AE4" s="49"/>
      <c r="AF4" s="49"/>
      <c r="AG4" s="49"/>
      <c r="AH4" s="49"/>
    </row>
    <row r="5" spans="1:34" s="15" customFormat="1" ht="15" customHeight="1">
      <c r="A5" s="13" t="s">
        <v>274</v>
      </c>
      <c r="B5" s="37"/>
      <c r="C5" s="37"/>
      <c r="D5" s="37"/>
      <c r="E5" s="37"/>
      <c r="F5" s="14">
        <v>0.05</v>
      </c>
      <c r="G5" s="27"/>
      <c r="H5" s="27"/>
      <c r="I5" s="27"/>
      <c r="J5" s="27"/>
      <c r="K5" s="14">
        <v>0.24199999999999999</v>
      </c>
      <c r="L5" s="27"/>
      <c r="M5" s="27"/>
      <c r="N5" s="27"/>
      <c r="O5" s="27"/>
      <c r="P5" s="14">
        <v>8.6999999999999994E-2</v>
      </c>
      <c r="Q5" s="27">
        <v>7.2999999999999995E-2</v>
      </c>
      <c r="R5" s="27">
        <v>6.6000000000000003E-2</v>
      </c>
      <c r="S5" s="27">
        <v>0.13</v>
      </c>
      <c r="T5" s="27">
        <v>1.7288112650676091E-2</v>
      </c>
      <c r="U5" s="14">
        <v>7.0000000000000007E-2</v>
      </c>
      <c r="V5" s="82">
        <v>0.11</v>
      </c>
      <c r="W5" s="82">
        <v>7.0000000000000007E-2</v>
      </c>
      <c r="X5" s="81"/>
      <c r="Y5" s="81"/>
      <c r="Z5" s="254" t="s">
        <v>296</v>
      </c>
      <c r="AA5" s="49"/>
      <c r="AB5" s="49"/>
      <c r="AC5" s="49"/>
      <c r="AD5" s="49"/>
      <c r="AE5" s="270"/>
      <c r="AF5" s="49"/>
      <c r="AG5" s="49"/>
      <c r="AH5" s="49"/>
    </row>
    <row r="6" spans="1:34" ht="15" customHeight="1">
      <c r="A6" s="5" t="s">
        <v>29</v>
      </c>
      <c r="B6" s="7"/>
      <c r="C6" s="12">
        <f>C3/B3-1</f>
        <v>0.19690538038619398</v>
      </c>
      <c r="D6" s="12">
        <f>D3/C3-1</f>
        <v>0.15165800122335682</v>
      </c>
      <c r="E6" s="12">
        <f>E3/D3-1</f>
        <v>3.1165495034712887E-3</v>
      </c>
      <c r="F6" s="12">
        <f>F3/E3-1</f>
        <v>0.15917442110582058</v>
      </c>
      <c r="G6" s="26">
        <v>0.49249999999999999</v>
      </c>
      <c r="H6" s="26">
        <v>0.35880000000000001</v>
      </c>
      <c r="I6" s="26">
        <v>0.45329999999999998</v>
      </c>
      <c r="J6" s="26">
        <v>0.40860000000000002</v>
      </c>
      <c r="K6" s="12">
        <f t="shared" ref="K6:V6" si="3">K3/F3-1</f>
        <v>0.4292503121091773</v>
      </c>
      <c r="L6" s="26">
        <f t="shared" si="3"/>
        <v>0.19937606153759768</v>
      </c>
      <c r="M6" s="26">
        <f t="shared" si="3"/>
        <v>0.33471660126959368</v>
      </c>
      <c r="N6" s="26">
        <f t="shared" si="3"/>
        <v>0.10945060377834803</v>
      </c>
      <c r="O6" s="26">
        <f t="shared" si="3"/>
        <v>0.20855457152088896</v>
      </c>
      <c r="P6" s="12">
        <f t="shared" si="3"/>
        <v>0.20118247733303418</v>
      </c>
      <c r="Q6" s="26">
        <f t="shared" si="3"/>
        <v>0.16012101387153677</v>
      </c>
      <c r="R6" s="26">
        <f t="shared" si="3"/>
        <v>0.1433800215484069</v>
      </c>
      <c r="S6" s="26">
        <f t="shared" si="3"/>
        <v>0.22731119027810376</v>
      </c>
      <c r="T6" s="26">
        <f t="shared" si="3"/>
        <v>0.1329127247771702</v>
      </c>
      <c r="U6" s="12">
        <f t="shared" si="3"/>
        <v>0.16650656071959413</v>
      </c>
      <c r="V6" s="57">
        <f t="shared" si="3"/>
        <v>0.41632514091877804</v>
      </c>
      <c r="W6" s="57">
        <v>0.53906420373316943</v>
      </c>
      <c r="X6" s="84">
        <f ca="1">OFFSET(X7,Summary!$C$14,0)</f>
        <v>0.57999999999999996</v>
      </c>
      <c r="Y6" s="84">
        <f ca="1">OFFSET(Y7,Summary!$C$14,0)</f>
        <v>0.6</v>
      </c>
      <c r="Z6" s="83">
        <f ca="1">Z3/U3-1</f>
        <v>0.54198271934311815</v>
      </c>
      <c r="AA6" s="105">
        <f ca="1">OFFSET(AA7,Summary!$C$14,0)</f>
        <v>0.14000000000000001</v>
      </c>
      <c r="AB6" s="105">
        <v>0.16</v>
      </c>
      <c r="AC6" s="105">
        <v>0.16</v>
      </c>
    </row>
    <row r="7" spans="1:34" ht="15" customHeight="1">
      <c r="A7" s="5"/>
      <c r="B7" s="7"/>
      <c r="C7" s="7"/>
      <c r="D7" s="7"/>
      <c r="E7" s="7"/>
      <c r="F7" s="7"/>
      <c r="G7" s="25"/>
      <c r="H7" s="25"/>
      <c r="I7" s="25"/>
      <c r="J7" s="25"/>
      <c r="K7" s="7"/>
      <c r="L7" s="25"/>
      <c r="M7" s="25"/>
      <c r="N7" s="25"/>
      <c r="O7" s="25"/>
      <c r="P7" s="7"/>
      <c r="Q7" s="25"/>
      <c r="R7" s="25"/>
      <c r="S7" s="25"/>
      <c r="T7" s="25"/>
      <c r="U7" s="7"/>
    </row>
    <row r="8" spans="1:34" ht="15" customHeight="1">
      <c r="A8" s="5" t="s">
        <v>31</v>
      </c>
      <c r="B8" s="7"/>
      <c r="C8" s="7"/>
      <c r="D8" s="231"/>
      <c r="E8" s="12"/>
      <c r="F8" s="230"/>
      <c r="G8" s="25"/>
      <c r="H8" s="25"/>
      <c r="I8" s="25"/>
      <c r="J8" s="25"/>
      <c r="K8" s="7"/>
      <c r="L8" s="25"/>
      <c r="M8" s="25"/>
      <c r="N8" s="25"/>
      <c r="O8" s="25"/>
      <c r="P8" s="7"/>
      <c r="Q8" s="25">
        <f>L3*(1+Q5)</f>
        <v>366.72886699999998</v>
      </c>
      <c r="R8" s="25">
        <f t="shared" ref="R8:T8" si="4">M3*(1+R5)</f>
        <v>346.29010000000005</v>
      </c>
      <c r="S8" s="25">
        <f t="shared" si="4"/>
        <v>476.73908999999992</v>
      </c>
      <c r="T8" s="25">
        <f t="shared" si="4"/>
        <v>483.23830300000009</v>
      </c>
      <c r="U8" s="7"/>
      <c r="W8" s="257"/>
      <c r="X8" s="87">
        <v>0.6</v>
      </c>
      <c r="Y8" s="87">
        <v>0.63</v>
      </c>
      <c r="AA8" s="83">
        <v>0.16500000000000001</v>
      </c>
      <c r="AB8" s="83">
        <v>0.17</v>
      </c>
      <c r="AC8" s="83">
        <v>0.17499999999999999</v>
      </c>
    </row>
    <row r="9" spans="1:34" ht="15" customHeight="1">
      <c r="A9" s="5" t="s">
        <v>32</v>
      </c>
      <c r="B9" s="7"/>
      <c r="C9" s="7"/>
      <c r="D9" s="7"/>
      <c r="E9" s="7"/>
      <c r="F9" s="7"/>
      <c r="G9" s="25"/>
      <c r="H9" s="25"/>
      <c r="I9" s="25"/>
      <c r="J9" s="25"/>
      <c r="K9" s="7"/>
      <c r="L9" s="25"/>
      <c r="M9" s="25"/>
      <c r="N9" s="25"/>
      <c r="O9" s="25"/>
      <c r="P9" s="7"/>
      <c r="Q9" s="25"/>
      <c r="R9" s="25"/>
      <c r="S9" s="26"/>
      <c r="T9" s="25"/>
      <c r="U9" s="12">
        <f>(U3/E3)^(1/4)-1</f>
        <v>0.23434998102269811</v>
      </c>
      <c r="V9" s="57">
        <v>0.41632514091877804</v>
      </c>
      <c r="W9" s="57">
        <f>W3/R3-1</f>
        <v>0.53906420373316943</v>
      </c>
      <c r="X9" s="84">
        <v>0.57999999999999996</v>
      </c>
      <c r="Y9" s="84">
        <v>0.6</v>
      </c>
      <c r="Z9" s="83"/>
      <c r="AA9" s="105">
        <v>0.14000000000000001</v>
      </c>
      <c r="AB9" s="105">
        <v>0.16</v>
      </c>
      <c r="AC9" s="105">
        <v>0.16</v>
      </c>
    </row>
    <row r="10" spans="1:34" ht="15" customHeight="1">
      <c r="A10" s="5" t="s">
        <v>33</v>
      </c>
      <c r="B10" s="7"/>
      <c r="C10" s="7"/>
      <c r="D10" s="7"/>
      <c r="E10" s="7"/>
      <c r="F10" s="7"/>
      <c r="G10" s="25"/>
      <c r="H10" s="25"/>
      <c r="I10" s="25"/>
      <c r="J10" s="25"/>
      <c r="K10" s="7"/>
      <c r="L10" s="26">
        <v>7.0000000000000007E-2</v>
      </c>
      <c r="M10" s="26">
        <v>7.0000000000000007E-2</v>
      </c>
      <c r="N10" s="26">
        <v>7.0000000000000007E-2</v>
      </c>
      <c r="O10" s="26">
        <v>7.0000000000000007E-2</v>
      </c>
      <c r="P10" s="7"/>
      <c r="Q10" s="25"/>
      <c r="R10" s="25"/>
      <c r="S10" s="25"/>
      <c r="T10" s="25"/>
      <c r="U10" s="7"/>
      <c r="W10" s="257"/>
      <c r="X10" s="87">
        <v>0.54</v>
      </c>
      <c r="Y10" s="87">
        <v>0.56000000000000005</v>
      </c>
      <c r="AA10" s="105">
        <v>0.115</v>
      </c>
      <c r="AB10" s="105">
        <v>0.12</v>
      </c>
      <c r="AC10" s="105">
        <v>0.1</v>
      </c>
    </row>
    <row r="11" spans="1:34" ht="15" customHeight="1">
      <c r="A11" s="5"/>
      <c r="B11" s="7"/>
      <c r="C11" s="7"/>
      <c r="D11" s="7"/>
      <c r="E11" s="7"/>
      <c r="F11" s="7"/>
      <c r="G11" s="25"/>
      <c r="H11" s="25"/>
      <c r="I11" s="25"/>
      <c r="J11" s="25"/>
      <c r="K11" s="7"/>
      <c r="L11" s="25"/>
      <c r="M11" s="25"/>
      <c r="N11" s="25"/>
      <c r="O11" s="25"/>
      <c r="P11" s="7"/>
      <c r="Q11" s="25"/>
      <c r="R11" s="25"/>
      <c r="S11" s="25"/>
      <c r="T11" s="25"/>
      <c r="U11" s="7"/>
      <c r="AB11" s="106"/>
    </row>
    <row r="12" spans="1:34" ht="15" customHeight="1">
      <c r="A12" s="5" t="s">
        <v>9</v>
      </c>
      <c r="B12" s="41">
        <v>-477.24099999999999</v>
      </c>
      <c r="C12" s="41">
        <v>-580.55999999999995</v>
      </c>
      <c r="D12" s="41">
        <v>-665.28499999999997</v>
      </c>
      <c r="E12" s="41">
        <v>-663.46699999999998</v>
      </c>
      <c r="F12" s="41">
        <v>-790.803</v>
      </c>
      <c r="G12" s="42">
        <v>-252</v>
      </c>
      <c r="H12" s="42">
        <v>-230.88800000000001</v>
      </c>
      <c r="I12" s="42">
        <v>-336.02199999999999</v>
      </c>
      <c r="J12" s="42">
        <v>-343.46199999999999</v>
      </c>
      <c r="K12" s="41">
        <v>-1162.3720000000001</v>
      </c>
      <c r="L12" s="42">
        <v>-311.28300000000002</v>
      </c>
      <c r="M12" s="42">
        <v>-298.57</v>
      </c>
      <c r="N12" s="42">
        <v>-357.82100000000003</v>
      </c>
      <c r="O12" s="42">
        <v>-399.48899999999998</v>
      </c>
      <c r="P12" s="41">
        <v>-1367.163</v>
      </c>
      <c r="Q12" s="42">
        <v>-344.625</v>
      </c>
      <c r="R12" s="42">
        <v>-332.62599999999998</v>
      </c>
      <c r="S12" s="42">
        <v>-434.30200000000002</v>
      </c>
      <c r="T12" s="42">
        <v>-454.08199999999999</v>
      </c>
      <c r="U12" s="41">
        <v>-1565.635</v>
      </c>
      <c r="V12" s="30">
        <v>-485.00900000000001</v>
      </c>
      <c r="W12" s="258">
        <v>-500.3</v>
      </c>
      <c r="X12" s="92">
        <f ca="1">X13-X3</f>
        <v>-669.42581233999999</v>
      </c>
      <c r="Y12" s="92">
        <f ca="1">Y13-Y3</f>
        <v>-706.72680160000004</v>
      </c>
      <c r="Z12" s="51">
        <f ca="1">SUM(V12:Y12)</f>
        <v>-2361.46161394</v>
      </c>
      <c r="AA12" s="96">
        <f ca="1">AA13-AA3</f>
        <v>-2669.6232454380006</v>
      </c>
      <c r="AB12" s="96">
        <f ca="1">AB13-AB3</f>
        <v>-3074.4482159370727</v>
      </c>
      <c r="AC12" s="96">
        <f ca="1">AC13-AC3</f>
        <v>-3544.7890066750297</v>
      </c>
    </row>
    <row r="13" spans="1:34" ht="15" customHeight="1" thickBot="1">
      <c r="A13" s="5" t="s">
        <v>10</v>
      </c>
      <c r="B13" s="41">
        <v>90.971000000000004</v>
      </c>
      <c r="C13" s="41">
        <v>99.536000000000001</v>
      </c>
      <c r="D13" s="41">
        <v>117.953</v>
      </c>
      <c r="E13" s="41">
        <v>122.212</v>
      </c>
      <c r="F13" s="41">
        <v>119.93600000000001</v>
      </c>
      <c r="G13" s="42">
        <v>32.963999999999999</v>
      </c>
      <c r="H13" s="42">
        <v>12.497</v>
      </c>
      <c r="I13" s="42">
        <v>44.25</v>
      </c>
      <c r="J13" s="42">
        <v>49.591000000000001</v>
      </c>
      <c r="K13" s="41">
        <v>139.30199999999999</v>
      </c>
      <c r="L13" s="42">
        <v>30.495999999999999</v>
      </c>
      <c r="M13" s="42">
        <v>26.28</v>
      </c>
      <c r="N13" s="42">
        <v>64.072000000000003</v>
      </c>
      <c r="O13" s="42">
        <v>75.537000000000006</v>
      </c>
      <c r="P13" s="41">
        <v>196.38499999999999</v>
      </c>
      <c r="Q13" s="42">
        <v>51.88</v>
      </c>
      <c r="R13" s="42">
        <v>38.801000000000002</v>
      </c>
      <c r="S13" s="42">
        <v>83.492000000000004</v>
      </c>
      <c r="T13" s="42">
        <v>84.081000000000003</v>
      </c>
      <c r="U13" s="41">
        <v>258.25400000000002</v>
      </c>
      <c r="V13" s="30">
        <v>76.570999999999998</v>
      </c>
      <c r="W13" s="259">
        <f>W3+W12</f>
        <v>71.349999999999966</v>
      </c>
      <c r="X13" s="86">
        <f ca="1">X14*X3</f>
        <v>148.68870765999998</v>
      </c>
      <c r="Y13" s="86">
        <f ca="1">Y14*Y3</f>
        <v>154.33399840000001</v>
      </c>
      <c r="Z13" s="51">
        <f ca="1">SUM(V13:Y13)</f>
        <v>450.94370605999995</v>
      </c>
      <c r="AA13" s="51">
        <f ca="1">AA3*AA14</f>
        <v>536.51881936200004</v>
      </c>
      <c r="AB13" s="51">
        <f ca="1">AB3*AB14</f>
        <v>644.67657923092804</v>
      </c>
      <c r="AC13" s="51">
        <f ca="1">AC3*AC14</f>
        <v>769.39575571985085</v>
      </c>
    </row>
    <row r="14" spans="1:34" s="23" customFormat="1" ht="15" customHeight="1" thickBot="1">
      <c r="A14" s="20" t="s">
        <v>30</v>
      </c>
      <c r="B14" s="70">
        <f t="shared" ref="B14:V14" si="5">B13/B3</f>
        <v>0.16010045546380577</v>
      </c>
      <c r="C14" s="70">
        <f t="shared" si="5"/>
        <v>0.14635580859172823</v>
      </c>
      <c r="D14" s="70">
        <f t="shared" si="5"/>
        <v>0.15059662580211888</v>
      </c>
      <c r="E14" s="70">
        <f t="shared" si="5"/>
        <v>0.15554953104257593</v>
      </c>
      <c r="F14" s="70">
        <f t="shared" si="5"/>
        <v>0.13169085764417687</v>
      </c>
      <c r="G14" s="71">
        <f t="shared" si="5"/>
        <v>0.11567776982355665</v>
      </c>
      <c r="H14" s="71">
        <f t="shared" si="5"/>
        <v>5.134663187953243E-2</v>
      </c>
      <c r="I14" s="71">
        <f t="shared" si="5"/>
        <v>0.11636407624016494</v>
      </c>
      <c r="J14" s="71">
        <f t="shared" si="5"/>
        <v>0.12616873551404009</v>
      </c>
      <c r="K14" s="70">
        <f t="shared" si="5"/>
        <v>0.10701757890224434</v>
      </c>
      <c r="L14" s="71">
        <f t="shared" si="5"/>
        <v>8.922724918734036E-2</v>
      </c>
      <c r="M14" s="71">
        <f t="shared" si="5"/>
        <v>8.0898876404494377E-2</v>
      </c>
      <c r="N14" s="71">
        <f t="shared" si="5"/>
        <v>0.15186789067370166</v>
      </c>
      <c r="O14" s="71">
        <f t="shared" si="5"/>
        <v>0.15901655909360751</v>
      </c>
      <c r="P14" s="70">
        <f t="shared" si="5"/>
        <v>0.12560215612184594</v>
      </c>
      <c r="Q14" s="71">
        <f t="shared" si="5"/>
        <v>0.13084324283426441</v>
      </c>
      <c r="R14" s="71">
        <f t="shared" si="5"/>
        <v>0.10446467273515388</v>
      </c>
      <c r="S14" s="71">
        <f t="shared" si="5"/>
        <v>0.16124559187630602</v>
      </c>
      <c r="T14" s="71">
        <f t="shared" si="5"/>
        <v>0.15623705085633907</v>
      </c>
      <c r="U14" s="70">
        <f t="shared" si="5"/>
        <v>0.14159523962258669</v>
      </c>
      <c r="V14" s="72">
        <f t="shared" si="5"/>
        <v>0.13634922896114532</v>
      </c>
      <c r="W14" s="72">
        <f>W13/W3</f>
        <v>0.12481413452287234</v>
      </c>
      <c r="X14" s="90">
        <f t="shared" ref="X14:Y14" ca="1" si="6">S14+X15/10000</f>
        <v>0.18174559187630601</v>
      </c>
      <c r="Y14" s="90">
        <f t="shared" ca="1" si="6"/>
        <v>0.17923705085633906</v>
      </c>
      <c r="Z14" s="107">
        <f ca="1">Z13/Z3</f>
        <v>0.16034093764976945</v>
      </c>
      <c r="AA14" s="109">
        <f ca="1">Z14+AA15/10000</f>
        <v>0.16734093764976946</v>
      </c>
      <c r="AB14" s="109">
        <f t="shared" ref="AB14:AC14" ca="1" si="7">AA14+AB15/10000</f>
        <v>0.17334093764976946</v>
      </c>
      <c r="AC14" s="109">
        <f t="shared" ca="1" si="7"/>
        <v>0.17834093764976947</v>
      </c>
      <c r="AD14" s="60"/>
      <c r="AE14" s="60"/>
      <c r="AF14" s="60"/>
      <c r="AG14" s="60"/>
      <c r="AH14" s="60"/>
    </row>
    <row r="15" spans="1:34" s="15" customFormat="1" ht="15" customHeight="1">
      <c r="A15" s="13" t="s">
        <v>34</v>
      </c>
      <c r="B15" s="14"/>
      <c r="C15" s="73">
        <f>(C14-B14)*10000</f>
        <v>-137.44646872077547</v>
      </c>
      <c r="D15" s="73">
        <f t="shared" ref="D15:F15" si="8">(D14-C14)*10000</f>
        <v>42.408172103906573</v>
      </c>
      <c r="E15" s="73">
        <f t="shared" si="8"/>
        <v>49.529052404570507</v>
      </c>
      <c r="F15" s="73">
        <f t="shared" si="8"/>
        <v>-238.5867339839906</v>
      </c>
      <c r="G15" s="27"/>
      <c r="H15" s="27"/>
      <c r="I15" s="27"/>
      <c r="J15" s="27"/>
      <c r="K15" s="75">
        <f>(K14-F14)*10000</f>
        <v>-246.73278741932535</v>
      </c>
      <c r="L15" s="74">
        <f>(L14-G14)*10000</f>
        <v>-264.50520636216294</v>
      </c>
      <c r="M15" s="74">
        <f t="shared" ref="M15:O15" si="9">(M14-H14)*10000</f>
        <v>295.52244524961947</v>
      </c>
      <c r="N15" s="74">
        <f t="shared" si="9"/>
        <v>355.03814433536718</v>
      </c>
      <c r="O15" s="74">
        <f t="shared" si="9"/>
        <v>328.47823579567421</v>
      </c>
      <c r="P15" s="75">
        <f>(P14-K14)*10000</f>
        <v>185.84577219601607</v>
      </c>
      <c r="Q15" s="76">
        <f>(Q14-L14)*10000</f>
        <v>416.15993646924045</v>
      </c>
      <c r="R15" s="76">
        <f t="shared" ref="R15" si="10">(R14-M14)*10000</f>
        <v>235.65796330659501</v>
      </c>
      <c r="S15" s="76">
        <f t="shared" ref="S15" si="11">(S14-N14)*10000</f>
        <v>93.777012026043664</v>
      </c>
      <c r="T15" s="76">
        <f t="shared" ref="T15" si="12">(T14-O14)*10000</f>
        <v>-27.795082372684409</v>
      </c>
      <c r="U15" s="75">
        <f>(U14-P14)*10000</f>
        <v>159.93083500740747</v>
      </c>
      <c r="V15" s="77">
        <f>(V14-Q14)*10000</f>
        <v>55.059861268809129</v>
      </c>
      <c r="W15" s="77">
        <f>(W14-R14)*10000</f>
        <v>203.4946178771846</v>
      </c>
      <c r="X15" s="91">
        <f ca="1">OFFSET(X16,Summary!$C$15,0)</f>
        <v>205</v>
      </c>
      <c r="Y15" s="91">
        <f ca="1">OFFSET(Y16,Summary!$C$15,0)</f>
        <v>230</v>
      </c>
      <c r="Z15" s="97">
        <f ca="1">(Z14-U14)*10000</f>
        <v>187.4569802718276</v>
      </c>
      <c r="AA15" s="49">
        <f ca="1">OFFSET(AA16,Summary!$C$15,0)</f>
        <v>70</v>
      </c>
      <c r="AB15" s="49">
        <f ca="1">OFFSET(AB16,Summary!$C$15,0)</f>
        <v>60</v>
      </c>
      <c r="AC15" s="49">
        <f ca="1">OFFSET(AC16,Summary!$C$15,0)</f>
        <v>50</v>
      </c>
      <c r="AD15" s="49"/>
      <c r="AE15" s="49"/>
      <c r="AF15" s="49"/>
      <c r="AG15" s="49"/>
      <c r="AH15" s="49"/>
    </row>
    <row r="16" spans="1:34" s="15" customFormat="1" ht="15" customHeight="1">
      <c r="A16" s="13"/>
      <c r="B16" s="14"/>
      <c r="C16" s="73"/>
      <c r="D16" s="73"/>
      <c r="E16" s="73"/>
      <c r="F16" s="73"/>
      <c r="G16" s="27"/>
      <c r="H16" s="27"/>
      <c r="I16" s="27"/>
      <c r="J16" s="27"/>
      <c r="K16" s="75"/>
      <c r="L16" s="74"/>
      <c r="M16" s="74"/>
      <c r="N16" s="74"/>
      <c r="O16" s="74"/>
      <c r="P16" s="75"/>
      <c r="Q16" s="76"/>
      <c r="R16" s="76"/>
      <c r="S16" s="76"/>
      <c r="T16" s="76"/>
      <c r="U16" s="75"/>
      <c r="V16" s="77"/>
      <c r="W16" s="77"/>
      <c r="X16" s="91"/>
      <c r="Y16" s="91"/>
      <c r="Z16" s="97"/>
      <c r="AA16" s="49"/>
      <c r="AB16" s="49"/>
      <c r="AC16" s="49"/>
      <c r="AD16" s="49"/>
      <c r="AE16" s="49"/>
      <c r="AF16" s="49"/>
      <c r="AG16" s="49"/>
      <c r="AH16" s="49"/>
    </row>
    <row r="17" spans="1:34" s="15" customFormat="1" ht="15" customHeight="1">
      <c r="A17" s="5" t="s">
        <v>31</v>
      </c>
      <c r="B17" s="14"/>
      <c r="C17" s="73"/>
      <c r="D17" s="73"/>
      <c r="E17" s="73"/>
      <c r="F17" s="73"/>
      <c r="G17" s="27"/>
      <c r="H17" s="27"/>
      <c r="I17" s="27"/>
      <c r="J17" s="27"/>
      <c r="K17" s="75"/>
      <c r="L17" s="74"/>
      <c r="M17" s="74"/>
      <c r="N17" s="74"/>
      <c r="O17" s="74"/>
      <c r="P17" s="75"/>
      <c r="Q17" s="76"/>
      <c r="R17" s="76"/>
      <c r="S17" s="76"/>
      <c r="T17" s="76"/>
      <c r="U17" s="75"/>
      <c r="V17" s="77"/>
      <c r="W17" s="77"/>
      <c r="X17" s="91">
        <v>225</v>
      </c>
      <c r="Y17" s="91">
        <v>250</v>
      </c>
      <c r="Z17" s="97"/>
      <c r="AA17" s="49">
        <v>80</v>
      </c>
      <c r="AB17" s="49">
        <v>80</v>
      </c>
      <c r="AC17" s="49">
        <v>75</v>
      </c>
      <c r="AD17" s="49"/>
      <c r="AE17" s="49"/>
      <c r="AF17" s="49"/>
      <c r="AG17" s="49"/>
      <c r="AH17" s="49"/>
    </row>
    <row r="18" spans="1:34" s="15" customFormat="1" ht="15" customHeight="1">
      <c r="A18" s="5" t="s">
        <v>32</v>
      </c>
      <c r="B18" s="14"/>
      <c r="C18" s="73"/>
      <c r="D18" s="73"/>
      <c r="E18" s="73"/>
      <c r="F18" s="73"/>
      <c r="G18" s="27"/>
      <c r="H18" s="27"/>
      <c r="I18" s="27"/>
      <c r="J18" s="27"/>
      <c r="K18" s="75"/>
      <c r="L18" s="74"/>
      <c r="M18" s="74"/>
      <c r="N18" s="74"/>
      <c r="O18" s="74"/>
      <c r="P18" s="75"/>
      <c r="Q18" s="76"/>
      <c r="R18" s="76"/>
      <c r="S18" s="76"/>
      <c r="T18" s="76"/>
      <c r="U18" s="75"/>
      <c r="V18" s="77"/>
      <c r="W18" s="77"/>
      <c r="X18" s="91">
        <v>205</v>
      </c>
      <c r="Y18" s="91">
        <v>230</v>
      </c>
      <c r="Z18" s="97"/>
      <c r="AA18" s="49">
        <v>70</v>
      </c>
      <c r="AB18" s="49">
        <v>60</v>
      </c>
      <c r="AC18" s="49">
        <v>50</v>
      </c>
      <c r="AD18" s="49"/>
      <c r="AE18" s="49"/>
      <c r="AF18" s="49"/>
      <c r="AG18" s="49"/>
      <c r="AH18" s="49"/>
    </row>
    <row r="19" spans="1:34" s="15" customFormat="1" ht="15" customHeight="1">
      <c r="A19" s="5" t="s">
        <v>33</v>
      </c>
      <c r="B19" s="14"/>
      <c r="C19" s="73"/>
      <c r="D19" s="73"/>
      <c r="E19" s="73"/>
      <c r="F19" s="73"/>
      <c r="G19" s="27"/>
      <c r="H19" s="27"/>
      <c r="I19" s="27"/>
      <c r="J19" s="27"/>
      <c r="K19" s="75"/>
      <c r="L19" s="74"/>
      <c r="M19" s="74"/>
      <c r="N19" s="74"/>
      <c r="O19" s="74"/>
      <c r="P19" s="75"/>
      <c r="Q19" s="76"/>
      <c r="R19" s="76"/>
      <c r="S19" s="76"/>
      <c r="T19" s="76"/>
      <c r="U19" s="75"/>
      <c r="V19" s="77"/>
      <c r="W19" s="260"/>
      <c r="X19" s="240">
        <v>180</v>
      </c>
      <c r="Y19" s="240">
        <v>205</v>
      </c>
      <c r="Z19" s="97"/>
      <c r="AA19" s="49">
        <v>25</v>
      </c>
      <c r="AB19" s="49">
        <v>20</v>
      </c>
      <c r="AC19" s="49">
        <v>20</v>
      </c>
      <c r="AD19" s="49"/>
      <c r="AE19" s="49"/>
      <c r="AF19" s="49"/>
      <c r="AG19" s="49"/>
      <c r="AH19" s="49"/>
    </row>
    <row r="20" spans="1:34" s="15" customFormat="1" ht="15" customHeight="1">
      <c r="A20" s="13"/>
      <c r="B20" s="14"/>
      <c r="C20" s="73"/>
      <c r="D20" s="73"/>
      <c r="E20" s="73"/>
      <c r="F20" s="73"/>
      <c r="G20" s="27"/>
      <c r="H20" s="27"/>
      <c r="I20" s="27"/>
      <c r="J20" s="27"/>
      <c r="K20" s="75"/>
      <c r="L20" s="74"/>
      <c r="M20" s="74"/>
      <c r="N20" s="74"/>
      <c r="O20" s="74"/>
      <c r="P20" s="75"/>
      <c r="Q20" s="76"/>
      <c r="R20" s="76"/>
      <c r="S20" s="76"/>
      <c r="T20" s="76"/>
      <c r="U20" s="75"/>
      <c r="V20" s="77"/>
      <c r="W20" s="77"/>
      <c r="X20" s="91"/>
      <c r="Y20" s="91"/>
      <c r="Z20" s="97"/>
      <c r="AA20" s="49"/>
      <c r="AB20" s="49"/>
      <c r="AC20" s="49"/>
      <c r="AD20" s="49"/>
      <c r="AE20" s="49"/>
      <c r="AF20" s="49"/>
      <c r="AG20" s="49"/>
      <c r="AH20" s="49"/>
    </row>
    <row r="21" spans="1:34" ht="15" customHeight="1">
      <c r="A21" s="5" t="s">
        <v>11</v>
      </c>
      <c r="B21" s="8">
        <v>-47.866999999999997</v>
      </c>
      <c r="C21" s="8">
        <v>-55.302999999999997</v>
      </c>
      <c r="D21" s="8">
        <v>-62.723999999999997</v>
      </c>
      <c r="E21" s="8">
        <v>-68.596999999999994</v>
      </c>
      <c r="F21" s="8">
        <v>-91.878</v>
      </c>
      <c r="G21" s="28">
        <v>-24.946000000000002</v>
      </c>
      <c r="H21" s="28">
        <v>-25</v>
      </c>
      <c r="I21" s="28">
        <v>-26.584</v>
      </c>
      <c r="J21" s="28">
        <v>-31.032</v>
      </c>
      <c r="K21" s="8">
        <v>-107.562</v>
      </c>
      <c r="L21" s="28">
        <v>-29.725000000000001</v>
      </c>
      <c r="M21" s="28">
        <v>-31.989000000000001</v>
      </c>
      <c r="N21" s="28">
        <v>-32.231000000000002</v>
      </c>
      <c r="O21" s="28">
        <v>-33.002000000000002</v>
      </c>
      <c r="P21" s="8">
        <v>-126.947</v>
      </c>
      <c r="Q21" s="28">
        <v>-35.981000000000002</v>
      </c>
      <c r="R21" s="28">
        <v>-36.752000000000002</v>
      </c>
      <c r="S21" s="28">
        <v>-38.927999999999997</v>
      </c>
      <c r="T21" s="28">
        <v>-39.835999999999999</v>
      </c>
      <c r="U21" s="8">
        <v>-151.49700000000001</v>
      </c>
      <c r="V21" s="40">
        <v>-63.817999999999998</v>
      </c>
      <c r="W21" s="259">
        <v>-47.47</v>
      </c>
      <c r="X21" s="86">
        <f ca="1">X22+X25</f>
        <v>-56.431787360000001</v>
      </c>
      <c r="Y21" s="86">
        <f ca="1">Y22+Y25</f>
        <v>-58.491073600000007</v>
      </c>
      <c r="Z21" s="54">
        <f ca="1">SUM(V21:Y21)</f>
        <v>-226.21086095999999</v>
      </c>
      <c r="AA21" s="95">
        <f ca="1">AA22+AA27</f>
        <v>-234.34222866560003</v>
      </c>
    </row>
    <row r="22" spans="1:34" ht="15" customHeight="1" outlineLevel="1">
      <c r="A22" s="6" t="s">
        <v>12</v>
      </c>
      <c r="B22" s="19">
        <f>B21</f>
        <v>-47.866999999999997</v>
      </c>
      <c r="C22" s="19">
        <f t="shared" ref="C22:P22" si="13">C21</f>
        <v>-55.302999999999997</v>
      </c>
      <c r="D22" s="19">
        <f t="shared" si="13"/>
        <v>-62.723999999999997</v>
      </c>
      <c r="E22" s="19">
        <f t="shared" si="13"/>
        <v>-68.596999999999994</v>
      </c>
      <c r="F22" s="19">
        <f t="shared" si="13"/>
        <v>-91.878</v>
      </c>
      <c r="G22" s="29">
        <f t="shared" si="13"/>
        <v>-24.946000000000002</v>
      </c>
      <c r="H22" s="29">
        <f t="shared" si="13"/>
        <v>-25</v>
      </c>
      <c r="I22" s="29">
        <f t="shared" si="13"/>
        <v>-26.584</v>
      </c>
      <c r="J22" s="29">
        <f t="shared" si="13"/>
        <v>-31.032</v>
      </c>
      <c r="K22" s="19">
        <f t="shared" si="13"/>
        <v>-107.562</v>
      </c>
      <c r="L22" s="29">
        <f t="shared" si="13"/>
        <v>-29.725000000000001</v>
      </c>
      <c r="M22" s="29">
        <f t="shared" si="13"/>
        <v>-31.989000000000001</v>
      </c>
      <c r="N22" s="29">
        <f t="shared" si="13"/>
        <v>-32.231000000000002</v>
      </c>
      <c r="O22" s="29">
        <f t="shared" si="13"/>
        <v>-33.002000000000002</v>
      </c>
      <c r="P22" s="19">
        <f t="shared" si="13"/>
        <v>-126.947</v>
      </c>
      <c r="Q22" s="29">
        <v>-35.454000000000001</v>
      </c>
      <c r="R22" s="29">
        <f>R21</f>
        <v>-36.752000000000002</v>
      </c>
      <c r="S22" s="29">
        <f t="shared" ref="S22:T22" si="14">S21</f>
        <v>-38.927999999999997</v>
      </c>
      <c r="T22" s="29">
        <f t="shared" si="14"/>
        <v>-39.835999999999999</v>
      </c>
      <c r="U22" s="19">
        <f>SUM(Q22:T22)</f>
        <v>-150.97</v>
      </c>
      <c r="V22" s="40">
        <v>-44.265999999999998</v>
      </c>
      <c r="W22" s="30">
        <v>-46.661999999999999</v>
      </c>
      <c r="X22" s="50">
        <f ca="1">-X23*X3</f>
        <v>-55.631787360000004</v>
      </c>
      <c r="Y22" s="50">
        <f ca="1">-Y23*Y3</f>
        <v>-57.69107360000001</v>
      </c>
      <c r="Z22" s="54">
        <f ca="1">SUM(V22:Y22)</f>
        <v>-204.25086096000001</v>
      </c>
      <c r="AA22" s="51">
        <f ca="1">AA23*-AA3</f>
        <v>-230.84222866560003</v>
      </c>
      <c r="AB22" s="51">
        <f ca="1">AB23*-AB3</f>
        <v>-265.91742285451204</v>
      </c>
      <c r="AC22" s="51">
        <f ca="1">AC23*-AC3</f>
        <v>-306.30711813003649</v>
      </c>
    </row>
    <row r="23" spans="1:34" s="15" customFormat="1" ht="15" customHeight="1" outlineLevel="1">
      <c r="A23" s="17" t="s">
        <v>63</v>
      </c>
      <c r="B23" s="67">
        <f t="shared" ref="B23:V23" si="15">-B22/B3</f>
        <v>8.4241445094436582E-2</v>
      </c>
      <c r="C23" s="67">
        <f t="shared" si="15"/>
        <v>8.1316461205476864E-2</v>
      </c>
      <c r="D23" s="67">
        <f t="shared" si="15"/>
        <v>8.008293775327549E-2</v>
      </c>
      <c r="E23" s="67">
        <f t="shared" si="15"/>
        <v>8.7309193703789964E-2</v>
      </c>
      <c r="F23" s="67">
        <f t="shared" si="15"/>
        <v>0.1008829093735966</v>
      </c>
      <c r="G23" s="68">
        <f t="shared" si="15"/>
        <v>8.7540882357069666E-2</v>
      </c>
      <c r="H23" s="68">
        <f t="shared" si="15"/>
        <v>0.102717916058919</v>
      </c>
      <c r="I23" s="68">
        <f t="shared" si="15"/>
        <v>6.9907855429797619E-2</v>
      </c>
      <c r="J23" s="68">
        <f t="shared" si="15"/>
        <v>7.8951184700282145E-2</v>
      </c>
      <c r="K23" s="67">
        <f t="shared" si="15"/>
        <v>8.2633593357476609E-2</v>
      </c>
      <c r="L23" s="68">
        <f t="shared" si="15"/>
        <v>8.6971405498875012E-2</v>
      </c>
      <c r="M23" s="68">
        <f t="shared" si="15"/>
        <v>9.8473141449899951E-2</v>
      </c>
      <c r="N23" s="68">
        <f t="shared" si="15"/>
        <v>7.6396147838432973E-2</v>
      </c>
      <c r="O23" s="68">
        <f t="shared" si="15"/>
        <v>6.9474091944440944E-2</v>
      </c>
      <c r="P23" s="67">
        <f t="shared" si="15"/>
        <v>8.1191623154517806E-2</v>
      </c>
      <c r="Q23" s="68">
        <f t="shared" si="15"/>
        <v>8.9416274700192935E-2</v>
      </c>
      <c r="R23" s="68">
        <f t="shared" si="15"/>
        <v>9.8948110934315492E-2</v>
      </c>
      <c r="S23" s="68">
        <f t="shared" si="15"/>
        <v>7.5180477178182825E-2</v>
      </c>
      <c r="T23" s="68">
        <f t="shared" si="15"/>
        <v>7.4022182870245631E-2</v>
      </c>
      <c r="U23" s="67">
        <f t="shared" si="15"/>
        <v>8.2773677564807954E-2</v>
      </c>
      <c r="V23" s="69">
        <f t="shared" si="15"/>
        <v>7.8824032194878726E-2</v>
      </c>
      <c r="W23" s="82">
        <f>-W22/W3</f>
        <v>8.162686958803464E-2</v>
      </c>
      <c r="X23" s="81">
        <v>6.8000000000000005E-2</v>
      </c>
      <c r="Y23" s="81">
        <v>6.7000000000000004E-2</v>
      </c>
      <c r="Z23" s="108">
        <f ca="1">-Z22/Z3</f>
        <v>7.2624973188430739E-2</v>
      </c>
      <c r="AA23" s="110">
        <v>7.1999999999999995E-2</v>
      </c>
      <c r="AB23" s="110">
        <v>7.1499999999999994E-2</v>
      </c>
      <c r="AC23" s="110">
        <v>7.0999999999999994E-2</v>
      </c>
      <c r="AD23" s="49"/>
      <c r="AE23" s="49"/>
      <c r="AF23" s="49"/>
      <c r="AG23" s="49"/>
      <c r="AH23" s="49"/>
    </row>
    <row r="24" spans="1:34" s="15" customFormat="1" ht="15" customHeight="1" outlineLevel="1">
      <c r="A24" s="17"/>
      <c r="B24" s="67"/>
      <c r="C24" s="67"/>
      <c r="D24" s="67"/>
      <c r="E24" s="67"/>
      <c r="F24" s="67"/>
      <c r="G24" s="68"/>
      <c r="H24" s="68"/>
      <c r="I24" s="68"/>
      <c r="J24" s="68"/>
      <c r="K24" s="67"/>
      <c r="L24" s="68"/>
      <c r="M24" s="68"/>
      <c r="N24" s="68"/>
      <c r="O24" s="68"/>
      <c r="P24" s="67"/>
      <c r="Q24" s="68"/>
      <c r="R24" s="68"/>
      <c r="S24" s="68"/>
      <c r="T24" s="68"/>
      <c r="U24" s="67"/>
      <c r="V24" s="69"/>
      <c r="W24" s="261"/>
      <c r="X24" s="48"/>
      <c r="Y24" s="48"/>
      <c r="Z24" s="49"/>
      <c r="AA24" s="49"/>
      <c r="AB24" s="49"/>
      <c r="AC24" s="49"/>
      <c r="AD24" s="49"/>
      <c r="AE24" s="49"/>
      <c r="AF24" s="49"/>
      <c r="AG24" s="49"/>
      <c r="AH24" s="49"/>
    </row>
    <row r="25" spans="1:34" ht="15" customHeight="1" outlineLevel="1">
      <c r="A25" s="6" t="s">
        <v>13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29">
        <v>0</v>
      </c>
      <c r="H25" s="29">
        <v>0</v>
      </c>
      <c r="I25" s="29">
        <v>0</v>
      </c>
      <c r="J25" s="29">
        <v>0</v>
      </c>
      <c r="K25" s="19">
        <v>0</v>
      </c>
      <c r="L25" s="29">
        <v>0</v>
      </c>
      <c r="M25" s="29">
        <v>0</v>
      </c>
      <c r="N25" s="29">
        <v>0</v>
      </c>
      <c r="O25" s="29">
        <v>0</v>
      </c>
      <c r="P25" s="19">
        <v>0</v>
      </c>
      <c r="Q25" s="29">
        <v>-0.52700000000000002</v>
      </c>
      <c r="R25" s="29"/>
      <c r="S25" s="29"/>
      <c r="T25" s="29"/>
      <c r="U25" s="18"/>
      <c r="V25" s="40">
        <v>-19.552</v>
      </c>
      <c r="W25" s="201">
        <v>-0.80600000000000005</v>
      </c>
      <c r="X25" s="50">
        <f>X27</f>
        <v>-0.8</v>
      </c>
      <c r="Y25" s="50">
        <f>Y27</f>
        <v>-0.8</v>
      </c>
    </row>
    <row r="26" spans="1:34" s="15" customFormat="1" ht="15" customHeight="1" outlineLevel="1">
      <c r="A26" s="17" t="s">
        <v>61</v>
      </c>
      <c r="B26" s="64">
        <v>0</v>
      </c>
      <c r="C26" s="64">
        <v>0</v>
      </c>
      <c r="D26" s="66">
        <v>0</v>
      </c>
      <c r="E26" s="66">
        <v>0</v>
      </c>
      <c r="F26" s="66">
        <v>0</v>
      </c>
      <c r="G26" s="65">
        <v>0</v>
      </c>
      <c r="H26" s="65">
        <v>0</v>
      </c>
      <c r="I26" s="65">
        <v>0</v>
      </c>
      <c r="J26" s="65">
        <v>0</v>
      </c>
      <c r="K26" s="66">
        <v>0</v>
      </c>
      <c r="L26" s="65">
        <v>0</v>
      </c>
      <c r="M26" s="65">
        <v>0</v>
      </c>
      <c r="N26" s="65">
        <v>0</v>
      </c>
      <c r="O26" s="65">
        <v>0</v>
      </c>
      <c r="P26" s="66">
        <v>0</v>
      </c>
      <c r="Q26" s="65">
        <v>0</v>
      </c>
      <c r="R26" s="65">
        <v>0</v>
      </c>
      <c r="S26" s="65">
        <v>0</v>
      </c>
      <c r="T26" s="65">
        <v>0</v>
      </c>
      <c r="U26" s="66">
        <v>0</v>
      </c>
      <c r="V26" s="65">
        <v>18.463000000000001</v>
      </c>
      <c r="W26" s="262">
        <v>0.221</v>
      </c>
      <c r="X26" s="48"/>
      <c r="Y26" s="48"/>
      <c r="Z26" s="49"/>
      <c r="AA26" s="49"/>
      <c r="AB26" s="49"/>
      <c r="AC26" s="49"/>
      <c r="AD26" s="49"/>
      <c r="AE26" s="49"/>
      <c r="AF26" s="49"/>
      <c r="AG26" s="49"/>
      <c r="AH26" s="49"/>
    </row>
    <row r="27" spans="1:34" ht="15" customHeight="1" outlineLevel="1">
      <c r="A27" s="6" t="s">
        <v>62</v>
      </c>
      <c r="B27" s="19">
        <v>0</v>
      </c>
      <c r="C27" s="19">
        <f>SUM(C25:C26)</f>
        <v>0</v>
      </c>
      <c r="D27" s="2">
        <f t="shared" ref="D27:V27" si="16">SUM(D25:D26)</f>
        <v>0</v>
      </c>
      <c r="E27" s="2">
        <f t="shared" si="16"/>
        <v>0</v>
      </c>
      <c r="F27" s="2">
        <f t="shared" si="16"/>
        <v>0</v>
      </c>
      <c r="G27" s="40">
        <f t="shared" si="16"/>
        <v>0</v>
      </c>
      <c r="H27" s="40">
        <f t="shared" si="16"/>
        <v>0</v>
      </c>
      <c r="I27" s="40">
        <f t="shared" si="16"/>
        <v>0</v>
      </c>
      <c r="J27" s="40">
        <f t="shared" si="16"/>
        <v>0</v>
      </c>
      <c r="K27" s="2">
        <f t="shared" si="16"/>
        <v>0</v>
      </c>
      <c r="L27" s="40">
        <f t="shared" si="16"/>
        <v>0</v>
      </c>
      <c r="M27" s="40">
        <f t="shared" si="16"/>
        <v>0</v>
      </c>
      <c r="N27" s="40">
        <f t="shared" si="16"/>
        <v>0</v>
      </c>
      <c r="O27" s="40">
        <f t="shared" si="16"/>
        <v>0</v>
      </c>
      <c r="P27" s="2">
        <f t="shared" si="16"/>
        <v>0</v>
      </c>
      <c r="Q27" s="40">
        <f t="shared" si="16"/>
        <v>-0.52700000000000002</v>
      </c>
      <c r="R27" s="40">
        <f t="shared" si="16"/>
        <v>0</v>
      </c>
      <c r="S27" s="40">
        <f t="shared" si="16"/>
        <v>0</v>
      </c>
      <c r="T27" s="40">
        <f t="shared" si="16"/>
        <v>0</v>
      </c>
      <c r="U27" s="2">
        <f t="shared" si="16"/>
        <v>0</v>
      </c>
      <c r="V27" s="40">
        <f t="shared" si="16"/>
        <v>-1.0889999999999986</v>
      </c>
      <c r="W27" s="30">
        <f>W25+W26</f>
        <v>-0.58500000000000008</v>
      </c>
      <c r="X27" s="50">
        <v>-0.8</v>
      </c>
      <c r="Y27" s="50">
        <v>-0.8</v>
      </c>
      <c r="Z27" s="54">
        <f>SUM(V27:Y27)</f>
        <v>-3.2739999999999982</v>
      </c>
      <c r="AA27" s="51">
        <v>-3.5</v>
      </c>
      <c r="AB27" s="51">
        <v>-3.5</v>
      </c>
      <c r="AC27" s="51">
        <v>-3.5</v>
      </c>
    </row>
    <row r="28" spans="1:34" ht="15" customHeight="1" outlineLevel="1">
      <c r="A28" s="6" t="s">
        <v>64</v>
      </c>
      <c r="B28" s="5"/>
      <c r="C28" s="16">
        <v>0.97499999999999998</v>
      </c>
      <c r="D28" s="16">
        <v>0.95699999999999996</v>
      </c>
      <c r="E28" s="16">
        <v>1.57</v>
      </c>
      <c r="F28" s="16">
        <v>3.5489999999999999</v>
      </c>
      <c r="G28" s="30">
        <v>1.504</v>
      </c>
      <c r="H28" s="30">
        <v>1.742</v>
      </c>
      <c r="I28" s="30">
        <v>1.8480000000000001</v>
      </c>
      <c r="J28" s="30">
        <v>2.9059999999999997</v>
      </c>
      <c r="K28" s="16">
        <v>8</v>
      </c>
      <c r="L28" s="30">
        <v>2.48</v>
      </c>
      <c r="M28" s="30">
        <v>2.6920000000000002</v>
      </c>
      <c r="N28" s="30">
        <v>2.7370000000000001</v>
      </c>
      <c r="O28" s="30">
        <v>2.8499999999999996</v>
      </c>
      <c r="P28" s="16">
        <v>10.759</v>
      </c>
      <c r="Q28" s="30">
        <v>3.0459999999999998</v>
      </c>
      <c r="R28" s="30">
        <v>3.5529999999999999</v>
      </c>
      <c r="S28" s="30">
        <v>4.0389999999999997</v>
      </c>
      <c r="T28" s="30">
        <v>4.4450000000000003</v>
      </c>
      <c r="U28" s="79">
        <v>15.031000000000001</v>
      </c>
      <c r="V28" s="31">
        <v>4.92</v>
      </c>
      <c r="W28" s="30">
        <v>4.6719999999999997</v>
      </c>
      <c r="X28" s="50">
        <f ca="1">X3*X29</f>
        <v>7.2812192279999994</v>
      </c>
      <c r="Y28" s="50">
        <f ca="1">Y3*Y29</f>
        <v>7.7495472000000003</v>
      </c>
      <c r="Z28" s="51">
        <f ca="1">SUM(V28:Y28)</f>
        <v>24.622766427999998</v>
      </c>
      <c r="AA28" s="51">
        <f ca="1">AA29*AA3</f>
        <v>28.855278583200004</v>
      </c>
      <c r="AB28" s="51">
        <f ca="1">AB29*AB3</f>
        <v>34.587860595062402</v>
      </c>
      <c r="AC28" s="51">
        <f ca="1">AC29*AC3</f>
        <v>40.984755242751362</v>
      </c>
    </row>
    <row r="29" spans="1:34" s="15" customFormat="1" ht="15" customHeight="1" outlineLevel="1">
      <c r="A29" s="17" t="s">
        <v>65</v>
      </c>
      <c r="B29" s="13"/>
      <c r="C29" s="80">
        <f t="shared" ref="C29:V29" si="17">C28/C3</f>
        <v>1.4336211358396461E-3</v>
      </c>
      <c r="D29" s="80">
        <f t="shared" si="17"/>
        <v>1.2218508295052078E-3</v>
      </c>
      <c r="E29" s="80">
        <f t="shared" si="17"/>
        <v>1.998271558740911E-3</v>
      </c>
      <c r="F29" s="80">
        <f t="shared" si="17"/>
        <v>3.8968354270542929E-3</v>
      </c>
      <c r="G29" s="69">
        <f t="shared" si="17"/>
        <v>5.2778596594657574E-3</v>
      </c>
      <c r="H29" s="69">
        <f t="shared" si="17"/>
        <v>7.1573843909854759E-3</v>
      </c>
      <c r="I29" s="69">
        <f t="shared" si="17"/>
        <v>4.8596793873858712E-3</v>
      </c>
      <c r="J29" s="69">
        <f t="shared" si="17"/>
        <v>7.3934049606541605E-3</v>
      </c>
      <c r="K29" s="80">
        <f t="shared" si="17"/>
        <v>6.1459320843775013E-3</v>
      </c>
      <c r="L29" s="69">
        <f t="shared" si="17"/>
        <v>7.2561509045318759E-3</v>
      </c>
      <c r="M29" s="69">
        <f t="shared" si="17"/>
        <v>8.2869016469139609E-3</v>
      </c>
      <c r="N29" s="69">
        <f t="shared" si="17"/>
        <v>6.4874269068223465E-3</v>
      </c>
      <c r="O29" s="69">
        <f t="shared" si="17"/>
        <v>5.9996715969231149E-3</v>
      </c>
      <c r="P29" s="80">
        <f t="shared" si="17"/>
        <v>6.881144678641142E-3</v>
      </c>
      <c r="Q29" s="69">
        <f t="shared" si="17"/>
        <v>7.6821225457434326E-3</v>
      </c>
      <c r="R29" s="69">
        <f t="shared" si="17"/>
        <v>9.5658097015025832E-3</v>
      </c>
      <c r="S29" s="69">
        <f t="shared" si="17"/>
        <v>7.8003993866286592E-3</v>
      </c>
      <c r="T29" s="69">
        <f t="shared" si="17"/>
        <v>8.2595793467778351E-3</v>
      </c>
      <c r="U29" s="67">
        <f t="shared" si="17"/>
        <v>8.241181343820814E-3</v>
      </c>
      <c r="V29" s="69">
        <f t="shared" si="17"/>
        <v>8.7609957619573346E-3</v>
      </c>
      <c r="W29" s="82">
        <f>W28/W3</f>
        <v>8.1728330272019586E-3</v>
      </c>
      <c r="X29" s="81">
        <v>8.8999999999999999E-3</v>
      </c>
      <c r="Y29" s="81">
        <v>8.9999999999999993E-3</v>
      </c>
      <c r="Z29" s="108">
        <f ca="1">Z28/Z3</f>
        <v>8.7550561268316743E-3</v>
      </c>
      <c r="AA29" s="110">
        <v>8.9999999999999993E-3</v>
      </c>
      <c r="AB29" s="110">
        <v>9.2999999999999992E-3</v>
      </c>
      <c r="AC29" s="110">
        <v>9.4999999999999998E-3</v>
      </c>
      <c r="AD29" s="49"/>
      <c r="AE29" s="49"/>
      <c r="AF29" s="49"/>
      <c r="AG29" s="49"/>
      <c r="AH29" s="49"/>
    </row>
    <row r="30" spans="1:34" ht="15" customHeight="1" outlineLevel="1">
      <c r="A30" s="6"/>
      <c r="B30" s="5"/>
      <c r="C30" s="5"/>
      <c r="D30" s="5"/>
      <c r="E30" s="5"/>
      <c r="F30" s="5"/>
      <c r="G30" s="24"/>
      <c r="H30" s="24"/>
      <c r="I30" s="24"/>
      <c r="J30" s="24"/>
      <c r="K30" s="5"/>
      <c r="L30" s="24"/>
      <c r="M30" s="24"/>
      <c r="N30" s="24"/>
      <c r="O30" s="24"/>
      <c r="P30" s="5"/>
      <c r="Q30" s="24"/>
      <c r="R30" s="24"/>
      <c r="S30" s="24"/>
      <c r="T30" s="24"/>
      <c r="U30" s="5"/>
    </row>
    <row r="31" spans="1:34" ht="15" customHeight="1">
      <c r="A31" s="5" t="s">
        <v>14</v>
      </c>
      <c r="B31" s="8">
        <v>0</v>
      </c>
      <c r="C31" s="8">
        <v>14.803000000000001</v>
      </c>
      <c r="D31" s="19">
        <v>0</v>
      </c>
      <c r="E31" s="19">
        <v>0</v>
      </c>
      <c r="F31" s="19">
        <v>0</v>
      </c>
      <c r="G31" s="29">
        <v>0</v>
      </c>
      <c r="H31" s="29">
        <v>0</v>
      </c>
      <c r="I31" s="29">
        <v>0</v>
      </c>
      <c r="J31" s="29">
        <v>0</v>
      </c>
      <c r="K31" s="19">
        <v>0</v>
      </c>
      <c r="L31" s="29">
        <v>0</v>
      </c>
      <c r="M31" s="29">
        <v>0</v>
      </c>
      <c r="N31" s="29">
        <v>0</v>
      </c>
      <c r="O31" s="29">
        <v>0</v>
      </c>
      <c r="P31" s="19">
        <v>0</v>
      </c>
      <c r="Q31" s="29">
        <v>0</v>
      </c>
      <c r="R31" s="29">
        <v>0</v>
      </c>
      <c r="S31" s="29">
        <v>0</v>
      </c>
      <c r="T31" s="29">
        <v>0</v>
      </c>
      <c r="U31" s="19">
        <v>0</v>
      </c>
      <c r="V31" s="29">
        <v>0</v>
      </c>
      <c r="W31" s="29">
        <v>0</v>
      </c>
      <c r="X31" s="58">
        <v>0</v>
      </c>
      <c r="Y31" s="58">
        <v>0</v>
      </c>
      <c r="Z31" s="51">
        <v>0</v>
      </c>
      <c r="AA31" s="51">
        <v>0</v>
      </c>
      <c r="AB31" s="51">
        <v>0</v>
      </c>
      <c r="AC31" s="51">
        <v>0</v>
      </c>
    </row>
    <row r="32" spans="1:34" ht="15" customHeight="1">
      <c r="A32" s="5" t="s">
        <v>15</v>
      </c>
      <c r="B32" s="8">
        <v>3.4809999999999999</v>
      </c>
      <c r="C32" s="8">
        <v>2.3919999999999999</v>
      </c>
      <c r="D32" s="8">
        <v>1.909</v>
      </c>
      <c r="E32" s="8">
        <v>1.6160000000000001</v>
      </c>
      <c r="F32" s="8">
        <v>2.0430000000000001</v>
      </c>
      <c r="G32" s="28">
        <v>0.441</v>
      </c>
      <c r="H32" s="28">
        <v>1.014</v>
      </c>
      <c r="I32" s="28">
        <v>0.33300000000000002</v>
      </c>
      <c r="J32" s="28">
        <v>1.885</v>
      </c>
      <c r="K32" s="8">
        <v>3.673</v>
      </c>
      <c r="L32" s="28">
        <v>0.16800000000000001</v>
      </c>
      <c r="M32" s="28">
        <v>3.1579999999999999</v>
      </c>
      <c r="N32" s="28">
        <v>1.4990000000000001</v>
      </c>
      <c r="O32" s="28">
        <v>2.2229999999999999</v>
      </c>
      <c r="P32" s="8">
        <v>7.048</v>
      </c>
      <c r="Q32" s="28">
        <v>0.83599999999999997</v>
      </c>
      <c r="R32" s="28">
        <v>1.0309999999999999</v>
      </c>
      <c r="S32" s="28">
        <v>1.093</v>
      </c>
      <c r="T32" s="28">
        <v>1.5229999999999999</v>
      </c>
      <c r="U32" s="8">
        <v>4.4829999999999997</v>
      </c>
      <c r="V32" s="30">
        <v>1.0549999999999999</v>
      </c>
      <c r="W32" s="30">
        <v>3.407</v>
      </c>
      <c r="X32" s="50">
        <v>2.5</v>
      </c>
      <c r="Y32" s="50">
        <v>1.5</v>
      </c>
      <c r="Z32" s="51">
        <f>SUM(V32:Y32)</f>
        <v>8.4619999999999997</v>
      </c>
      <c r="AA32" s="111">
        <v>5</v>
      </c>
      <c r="AB32" s="111">
        <v>5</v>
      </c>
      <c r="AC32" s="111">
        <v>5</v>
      </c>
    </row>
    <row r="33" spans="1:34" ht="15" customHeight="1">
      <c r="A33" s="5" t="s">
        <v>16</v>
      </c>
      <c r="B33" s="19">
        <v>0</v>
      </c>
      <c r="C33" s="19">
        <v>0</v>
      </c>
      <c r="D33" s="19">
        <v>0</v>
      </c>
      <c r="E33" s="19">
        <v>0</v>
      </c>
      <c r="F33" s="8">
        <v>0</v>
      </c>
      <c r="G33" s="28">
        <v>0</v>
      </c>
      <c r="H33" s="28">
        <v>0</v>
      </c>
      <c r="I33" s="28">
        <v>0</v>
      </c>
      <c r="J33" s="28">
        <v>0</v>
      </c>
      <c r="K33" s="8">
        <v>0</v>
      </c>
      <c r="L33" s="28">
        <v>5.3890000000000002</v>
      </c>
      <c r="M33" s="28">
        <v>0</v>
      </c>
      <c r="N33" s="28">
        <v>0</v>
      </c>
      <c r="O33" s="28">
        <v>0</v>
      </c>
      <c r="P33" s="8">
        <v>5.3890000000000002</v>
      </c>
      <c r="Q33" s="28">
        <v>0</v>
      </c>
      <c r="R33" s="28">
        <v>0</v>
      </c>
      <c r="S33" s="28">
        <v>0</v>
      </c>
      <c r="T33" s="28">
        <v>0</v>
      </c>
      <c r="U33" s="8">
        <v>0</v>
      </c>
      <c r="V33" s="30">
        <v>0</v>
      </c>
      <c r="W33" s="30">
        <v>0</v>
      </c>
      <c r="X33" s="50">
        <v>0</v>
      </c>
      <c r="Y33" s="50">
        <v>0</v>
      </c>
      <c r="Z33" s="51">
        <v>0</v>
      </c>
      <c r="AA33" s="51">
        <v>0</v>
      </c>
      <c r="AB33" s="51">
        <v>0</v>
      </c>
      <c r="AC33" s="51">
        <v>0</v>
      </c>
    </row>
    <row r="34" spans="1:34" ht="15" customHeight="1">
      <c r="A34" s="5" t="s">
        <v>17</v>
      </c>
      <c r="B34" s="8">
        <v>46.585000000000001</v>
      </c>
      <c r="C34" s="8">
        <v>61.427999999999997</v>
      </c>
      <c r="D34" s="8">
        <v>57.137999999999998</v>
      </c>
      <c r="E34" s="8">
        <v>55.231000000000002</v>
      </c>
      <c r="F34" s="8">
        <v>30.100999999999999</v>
      </c>
      <c r="G34" s="28">
        <v>8.4589999999999996</v>
      </c>
      <c r="H34" s="28">
        <v>-11.489000000000001</v>
      </c>
      <c r="I34" s="28">
        <v>17.998999999999999</v>
      </c>
      <c r="J34" s="28">
        <v>20.443999999999999</v>
      </c>
      <c r="K34" s="8">
        <v>35.412999999999997</v>
      </c>
      <c r="L34" s="28">
        <v>6.3280000000000003</v>
      </c>
      <c r="M34" s="28">
        <v>-2.5510000000000002</v>
      </c>
      <c r="N34" s="28">
        <v>33.340000000000003</v>
      </c>
      <c r="O34" s="28">
        <v>44.758000000000003</v>
      </c>
      <c r="P34" s="8">
        <v>81.875</v>
      </c>
      <c r="Q34" s="28">
        <v>16.734999999999999</v>
      </c>
      <c r="R34" s="28">
        <v>3.08</v>
      </c>
      <c r="S34" s="28">
        <v>45.656999999999996</v>
      </c>
      <c r="T34" s="28">
        <v>45.768000000000001</v>
      </c>
      <c r="U34" s="8">
        <v>111.24</v>
      </c>
      <c r="V34" s="30">
        <v>13.808</v>
      </c>
      <c r="W34" s="258">
        <f>W3+W12+W21+W32</f>
        <v>27.286999999999967</v>
      </c>
      <c r="Z34" s="256"/>
      <c r="AA34" s="256"/>
    </row>
    <row r="35" spans="1:34" ht="15" customHeight="1">
      <c r="A35" s="5"/>
      <c r="B35" s="7"/>
      <c r="C35" s="7"/>
      <c r="D35" s="7"/>
      <c r="E35" s="7"/>
      <c r="F35" s="7"/>
      <c r="G35" s="25"/>
      <c r="H35" s="25"/>
      <c r="I35" s="25"/>
      <c r="J35" s="25"/>
      <c r="K35" s="7"/>
      <c r="L35" s="25"/>
      <c r="M35" s="25"/>
      <c r="N35" s="25"/>
      <c r="O35" s="25"/>
      <c r="P35" s="231"/>
      <c r="Q35" s="25"/>
      <c r="R35" s="25"/>
      <c r="S35" s="25"/>
      <c r="T35" s="25"/>
      <c r="U35" s="7"/>
    </row>
    <row r="36" spans="1:34" ht="15" customHeight="1">
      <c r="A36" s="5" t="s">
        <v>37</v>
      </c>
      <c r="B36" s="7"/>
      <c r="C36" s="16">
        <v>25.321000000000002</v>
      </c>
      <c r="D36" s="16">
        <v>31.231000000000002</v>
      </c>
      <c r="E36" s="16">
        <v>39.301000000000002</v>
      </c>
      <c r="F36" s="16">
        <v>49.805999999999997</v>
      </c>
      <c r="G36" s="30">
        <v>15.903</v>
      </c>
      <c r="H36" s="30">
        <v>17.143999999999998</v>
      </c>
      <c r="I36" s="30">
        <v>17.244</v>
      </c>
      <c r="J36" s="30">
        <v>15.439000000000007</v>
      </c>
      <c r="K36" s="16">
        <v>65.73</v>
      </c>
      <c r="L36" s="30">
        <v>18.375</v>
      </c>
      <c r="M36" s="30">
        <v>19.858000000000001</v>
      </c>
      <c r="N36" s="30">
        <v>19.536000000000001</v>
      </c>
      <c r="O36" s="30">
        <v>21.330999999999989</v>
      </c>
      <c r="P36" s="41">
        <v>79.099999999999994</v>
      </c>
      <c r="Q36" s="30">
        <v>21.120999999999999</v>
      </c>
      <c r="R36" s="31">
        <v>22.84</v>
      </c>
      <c r="S36" s="42">
        <v>23.507000000000001</v>
      </c>
      <c r="T36" s="42">
        <v>25.452000000000002</v>
      </c>
      <c r="U36" s="41">
        <v>92.92</v>
      </c>
      <c r="V36" s="30">
        <v>31.184000000000001</v>
      </c>
      <c r="W36" s="30">
        <v>37.262999999999998</v>
      </c>
      <c r="X36" s="50">
        <f ca="1">X3*X37</f>
        <v>38.042325179999999</v>
      </c>
      <c r="Y36" s="50">
        <f ca="1">Y3*Y37</f>
        <v>40.469857600000005</v>
      </c>
      <c r="Z36" s="51">
        <f ca="1">SUM(V36:Y36)</f>
        <v>146.95918278000002</v>
      </c>
      <c r="AA36" s="51">
        <f ca="1">AA37*AA3</f>
        <v>166.71938736960004</v>
      </c>
      <c r="AB36" s="51">
        <f ca="1">AB37*AB3</f>
        <v>194.13831430776966</v>
      </c>
      <c r="AC36" s="51">
        <f ca="1">AC37*AC3</f>
        <v>226.06328154949176</v>
      </c>
      <c r="AD36" s="51"/>
      <c r="AE36" s="51"/>
      <c r="AF36" s="52"/>
    </row>
    <row r="37" spans="1:34" ht="15" customHeight="1">
      <c r="A37" s="5" t="s">
        <v>63</v>
      </c>
      <c r="B37" s="7"/>
      <c r="C37" s="89">
        <f t="shared" ref="C37:V37" si="18">C36/C3</f>
        <v>3.7231508492918647E-2</v>
      </c>
      <c r="D37" s="89">
        <f t="shared" si="18"/>
        <v>3.9874214478868492E-2</v>
      </c>
      <c r="E37" s="89">
        <f t="shared" si="18"/>
        <v>5.0021700974571044E-2</v>
      </c>
      <c r="F37" s="89">
        <f t="shared" si="18"/>
        <v>5.4687457109007076E-2</v>
      </c>
      <c r="G37" s="57">
        <f t="shared" si="18"/>
        <v>5.5807049311491982E-2</v>
      </c>
      <c r="H37" s="57">
        <f t="shared" si="18"/>
        <v>7.0439838116564291E-2</v>
      </c>
      <c r="I37" s="57">
        <f t="shared" si="18"/>
        <v>4.5346488829048681E-2</v>
      </c>
      <c r="J37" s="57">
        <f t="shared" si="18"/>
        <v>3.9279690016359135E-2</v>
      </c>
      <c r="K37" s="89">
        <f t="shared" si="18"/>
        <v>5.0496514488266649E-2</v>
      </c>
      <c r="L37" s="57">
        <f t="shared" si="18"/>
        <v>5.3762811641440818E-2</v>
      </c>
      <c r="M37" s="57">
        <f t="shared" si="18"/>
        <v>6.1129752193319994E-2</v>
      </c>
      <c r="N37" s="57">
        <f t="shared" si="18"/>
        <v>4.6305579850815258E-2</v>
      </c>
      <c r="O37" s="57">
        <f t="shared" si="18"/>
        <v>4.4904910468058563E-2</v>
      </c>
      <c r="P37" s="12">
        <f t="shared" si="18"/>
        <v>5.0590068229437145E-2</v>
      </c>
      <c r="Q37" s="57">
        <f t="shared" si="18"/>
        <v>5.3267928525491476E-2</v>
      </c>
      <c r="R37" s="57">
        <f t="shared" si="18"/>
        <v>6.1492567853171684E-2</v>
      </c>
      <c r="S37" s="26">
        <f t="shared" si="18"/>
        <v>4.5398363055578095E-2</v>
      </c>
      <c r="T37" s="26">
        <f t="shared" si="18"/>
        <v>4.7294221267534187E-2</v>
      </c>
      <c r="U37" s="12">
        <f t="shared" si="18"/>
        <v>5.0946082793415615E-2</v>
      </c>
      <c r="V37" s="57">
        <f t="shared" si="18"/>
        <v>5.5529043057088924E-2</v>
      </c>
      <c r="W37" s="57">
        <f>W36/W3</f>
        <v>6.5184990816058774E-2</v>
      </c>
      <c r="X37" s="84">
        <v>4.65E-2</v>
      </c>
      <c r="Y37" s="84">
        <v>4.7E-2</v>
      </c>
      <c r="Z37" s="83">
        <f ca="1">Z36/Z3</f>
        <v>5.2253912953058985E-2</v>
      </c>
      <c r="AA37" s="83">
        <v>5.1999999999999998E-2</v>
      </c>
      <c r="AB37" s="83">
        <v>5.2200000000000003E-2</v>
      </c>
      <c r="AC37" s="83">
        <v>5.2400000000000002E-2</v>
      </c>
      <c r="AD37" s="51"/>
      <c r="AE37" s="51"/>
      <c r="AF37" s="52"/>
    </row>
    <row r="38" spans="1:34" ht="15" customHeight="1">
      <c r="A38" s="5"/>
      <c r="B38" s="7"/>
      <c r="C38" s="16"/>
      <c r="D38" s="16"/>
      <c r="E38" s="16"/>
      <c r="F38" s="16"/>
      <c r="G38" s="30"/>
      <c r="H38" s="30"/>
      <c r="I38" s="30"/>
      <c r="J38" s="30"/>
      <c r="K38" s="16"/>
      <c r="L38" s="30"/>
      <c r="M38" s="30"/>
      <c r="N38" s="30"/>
      <c r="O38" s="30"/>
      <c r="P38" s="7"/>
      <c r="Q38" s="25"/>
      <c r="R38" s="25"/>
      <c r="S38" s="25"/>
      <c r="T38" s="25"/>
      <c r="U38" s="7"/>
    </row>
    <row r="39" spans="1:34" s="2" customFormat="1" ht="15" customHeight="1" thickBot="1">
      <c r="A39" s="5" t="s">
        <v>20</v>
      </c>
      <c r="B39" s="8">
        <v>-0.20499999999999999</v>
      </c>
      <c r="C39" s="8">
        <v>-0.10100000000000001</v>
      </c>
      <c r="D39" s="8">
        <v>0.41599999999999998</v>
      </c>
      <c r="E39" s="8">
        <v>0.33600000000000002</v>
      </c>
      <c r="F39" s="8">
        <v>0.81899999999999995</v>
      </c>
      <c r="G39" s="28">
        <v>0.11600000000000001</v>
      </c>
      <c r="H39" s="28">
        <v>4.2999999999999997E-2</v>
      </c>
      <c r="I39" s="28">
        <v>0.17799999999999999</v>
      </c>
      <c r="J39" s="28">
        <v>0.26300000000000001</v>
      </c>
      <c r="K39" s="8">
        <v>0.6</v>
      </c>
      <c r="L39" s="28">
        <v>3.4000000000000002E-2</v>
      </c>
      <c r="M39" s="28">
        <v>0.39800000000000002</v>
      </c>
      <c r="N39" s="28">
        <v>0.49299999999999999</v>
      </c>
      <c r="O39" s="28">
        <v>-0.05</v>
      </c>
      <c r="P39" s="8">
        <v>0.875</v>
      </c>
      <c r="Q39" s="28">
        <v>-2.8000000000000001E-2</v>
      </c>
      <c r="R39" s="28">
        <v>4.2999999999999997E-2</v>
      </c>
      <c r="S39" s="28">
        <v>3.2000000000000001E-2</v>
      </c>
      <c r="T39" s="28">
        <v>-0.11700000000000001</v>
      </c>
      <c r="U39" s="8">
        <v>-7.0000000000000007E-2</v>
      </c>
      <c r="V39" s="40">
        <v>0.42099999999999999</v>
      </c>
      <c r="W39" s="40">
        <v>-0.159</v>
      </c>
      <c r="X39" s="53">
        <v>0</v>
      </c>
      <c r="Y39" s="53">
        <v>0.01</v>
      </c>
      <c r="Z39" s="54">
        <f>SUM(V39:Y39)</f>
        <v>0.27200000000000002</v>
      </c>
      <c r="AA39" s="54">
        <v>0.2</v>
      </c>
      <c r="AB39" s="54">
        <v>0.2</v>
      </c>
      <c r="AC39" s="54">
        <v>0.2</v>
      </c>
      <c r="AD39" s="54"/>
      <c r="AE39" s="54"/>
      <c r="AF39" s="54"/>
      <c r="AG39" s="54"/>
      <c r="AH39" s="54"/>
    </row>
    <row r="40" spans="1:34" s="39" customFormat="1" ht="15" customHeight="1" thickBot="1">
      <c r="A40" s="34" t="s">
        <v>35</v>
      </c>
      <c r="B40" s="21"/>
      <c r="C40" s="22">
        <f t="shared" ref="C40:O40" si="19">C34+C36+C28+C39</f>
        <v>87.62299999999999</v>
      </c>
      <c r="D40" s="22">
        <f t="shared" si="19"/>
        <v>89.74199999999999</v>
      </c>
      <c r="E40" s="22">
        <f t="shared" si="19"/>
        <v>96.438000000000002</v>
      </c>
      <c r="F40" s="22">
        <f t="shared" si="19"/>
        <v>84.275000000000006</v>
      </c>
      <c r="G40" s="32">
        <f t="shared" ref="G40" si="20">G34+G36+G28+G39</f>
        <v>25.982000000000003</v>
      </c>
      <c r="H40" s="32">
        <f t="shared" ref="H40" si="21">H34+H36+H28+H39</f>
        <v>7.4399999999999977</v>
      </c>
      <c r="I40" s="32">
        <f t="shared" ref="I40" si="22">I34+I36+I28+I39</f>
        <v>37.268999999999991</v>
      </c>
      <c r="J40" s="32">
        <f t="shared" ref="J40" si="23">J34+J36+J28+J39</f>
        <v>39.052000000000007</v>
      </c>
      <c r="K40" s="22">
        <f t="shared" si="19"/>
        <v>109.74299999999999</v>
      </c>
      <c r="L40" s="32">
        <f t="shared" si="19"/>
        <v>27.216999999999999</v>
      </c>
      <c r="M40" s="32">
        <f t="shared" si="19"/>
        <v>20.397000000000002</v>
      </c>
      <c r="N40" s="32">
        <f t="shared" si="19"/>
        <v>56.106000000000009</v>
      </c>
      <c r="O40" s="32">
        <f t="shared" si="19"/>
        <v>68.888999999999996</v>
      </c>
      <c r="P40" s="22">
        <f>P34+P36+P28+P39</f>
        <v>172.60899999999998</v>
      </c>
      <c r="Q40" s="32">
        <f t="shared" ref="Q40:T40" si="24">Q34+Q36+Q28+Q39</f>
        <v>40.873999999999995</v>
      </c>
      <c r="R40" s="32">
        <f t="shared" si="24"/>
        <v>29.516000000000002</v>
      </c>
      <c r="S40" s="32">
        <f t="shared" si="24"/>
        <v>73.234999999999999</v>
      </c>
      <c r="T40" s="32">
        <f t="shared" si="24"/>
        <v>75.547999999999988</v>
      </c>
      <c r="U40" s="22">
        <f>U34+U36+U28+1.455+U39</f>
        <v>220.57600000000002</v>
      </c>
      <c r="V40" s="38">
        <f>V3+V12+V22+V27+V28+V32+V36+V39</f>
        <v>68.796000000000035</v>
      </c>
      <c r="W40" s="38">
        <f>W34+W26+W36+W28+W39</f>
        <v>69.283999999999949</v>
      </c>
      <c r="X40" s="55">
        <f t="shared" ref="X40:Y40" ca="1" si="25">X13+X22+X27+X28+X32+X36+X39</f>
        <v>140.08046470799997</v>
      </c>
      <c r="Y40" s="55">
        <f t="shared" ca="1" si="25"/>
        <v>145.57232959999999</v>
      </c>
      <c r="Z40" s="56">
        <f ca="1">SUM(V40:Y40)</f>
        <v>423.73279430799994</v>
      </c>
      <c r="AA40" s="56">
        <f ca="1">AA3+AA12+AA22+AA27+AA28+AA32+AA36+AA39</f>
        <v>502.95125664920016</v>
      </c>
      <c r="AB40" s="56">
        <f ca="1">AB3+AB12+AB22+AB27+AB28+AB32+AB36+AB39</f>
        <v>609.18533127924798</v>
      </c>
      <c r="AC40" s="56">
        <f ca="1">AC3+AC12+AC22+AC27+AC28+AC32+AC36+AC39</f>
        <v>731.83667438205771</v>
      </c>
      <c r="AD40" s="56"/>
      <c r="AE40" s="56"/>
      <c r="AF40" s="56"/>
      <c r="AG40" s="56"/>
      <c r="AH40" s="56"/>
    </row>
    <row r="41" spans="1:34" ht="15" customHeight="1">
      <c r="A41" s="5" t="s">
        <v>36</v>
      </c>
      <c r="B41" s="7"/>
      <c r="C41" s="12">
        <f t="shared" ref="C41:AC41" si="26">C40/C3</f>
        <v>0.12883916388274594</v>
      </c>
      <c r="D41" s="12">
        <f t="shared" si="26"/>
        <v>0.11457819972983944</v>
      </c>
      <c r="E41" s="12">
        <f t="shared" si="26"/>
        <v>0.12274478508398469</v>
      </c>
      <c r="F41" s="12">
        <f t="shared" si="26"/>
        <v>9.2534743763032001E-2</v>
      </c>
      <c r="G41" s="26">
        <f t="shared" si="26"/>
        <v>9.1176429303350612E-2</v>
      </c>
      <c r="H41" s="26">
        <f t="shared" si="26"/>
        <v>3.0568851819134286E-2</v>
      </c>
      <c r="I41" s="26">
        <f t="shared" si="26"/>
        <v>9.8006164008919913E-2</v>
      </c>
      <c r="J41" s="26">
        <f t="shared" si="26"/>
        <v>9.9355557647441972E-2</v>
      </c>
      <c r="K41" s="12">
        <f t="shared" si="26"/>
        <v>8.4309128091980018E-2</v>
      </c>
      <c r="L41" s="26">
        <f t="shared" si="26"/>
        <v>7.963333030993712E-2</v>
      </c>
      <c r="M41" s="26">
        <f t="shared" si="26"/>
        <v>6.2788979529013397E-2</v>
      </c>
      <c r="N41" s="26">
        <f t="shared" si="26"/>
        <v>0.13298632591676091</v>
      </c>
      <c r="O41" s="26">
        <f t="shared" si="26"/>
        <v>0.14502153566331105</v>
      </c>
      <c r="P41" s="12">
        <f t="shared" si="26"/>
        <v>0.11039571538577644</v>
      </c>
      <c r="Q41" s="26">
        <f t="shared" si="26"/>
        <v>0.10308571140338708</v>
      </c>
      <c r="R41" s="26">
        <f t="shared" si="26"/>
        <v>7.9466490050534827E-2</v>
      </c>
      <c r="S41" s="26">
        <f t="shared" si="26"/>
        <v>0.14143655585039611</v>
      </c>
      <c r="T41" s="26">
        <f t="shared" si="26"/>
        <v>0.14038125995283954</v>
      </c>
      <c r="U41" s="12">
        <f t="shared" si="26"/>
        <v>0.12093718422557515</v>
      </c>
      <c r="V41" s="57">
        <f t="shared" si="26"/>
        <v>0.12250436269097907</v>
      </c>
      <c r="W41" s="263">
        <f t="shared" si="26"/>
        <v>0.12120003498644268</v>
      </c>
      <c r="X41" s="88">
        <f t="shared" ca="1" si="26"/>
        <v>0.1712235405722905</v>
      </c>
      <c r="Y41" s="88">
        <f t="shared" ca="1" si="26"/>
        <v>0.16906161516120577</v>
      </c>
      <c r="Z41" s="83">
        <f t="shared" ca="1" si="26"/>
        <v>0.1506656210947574</v>
      </c>
      <c r="AA41" s="83">
        <f t="shared" ca="1" si="26"/>
        <v>0.15687116992446007</v>
      </c>
      <c r="AB41" s="83">
        <f t="shared" ca="1" si="26"/>
        <v>0.1637980344382958</v>
      </c>
      <c r="AC41" s="83">
        <f t="shared" ca="1" si="26"/>
        <v>0.16963498660539567</v>
      </c>
    </row>
    <row r="42" spans="1:34" s="15" customFormat="1" ht="15" customHeight="1">
      <c r="A42" s="13" t="s">
        <v>34</v>
      </c>
      <c r="B42" s="37"/>
      <c r="C42" s="75">
        <f>(C41-B41)*10000</f>
        <v>1288.3916388274595</v>
      </c>
      <c r="D42" s="75">
        <f t="shared" ref="D42" si="27">(D41-C41)*10000</f>
        <v>-142.60964152906493</v>
      </c>
      <c r="E42" s="75">
        <f t="shared" ref="E42" si="28">(E41-D41)*10000</f>
        <v>81.665853541452449</v>
      </c>
      <c r="F42" s="75">
        <f t="shared" ref="F42" si="29">(F41-E41)*10000</f>
        <v>-302.10041320952689</v>
      </c>
      <c r="G42" s="27"/>
      <c r="H42" s="27"/>
      <c r="I42" s="27"/>
      <c r="J42" s="27"/>
      <c r="K42" s="75">
        <f>(K41-F41)*10000</f>
        <v>-82.256156710519832</v>
      </c>
      <c r="L42" s="76">
        <f>(L41-G41)*10000</f>
        <v>-115.43098993413491</v>
      </c>
      <c r="M42" s="76">
        <f t="shared" ref="M42" si="30">(M41-H41)*10000</f>
        <v>322.20127709879114</v>
      </c>
      <c r="N42" s="76">
        <f t="shared" ref="N42" si="31">(N41-I41)*10000</f>
        <v>349.80161907840994</v>
      </c>
      <c r="O42" s="76">
        <f t="shared" ref="O42" si="32">(O41-J41)*10000</f>
        <v>456.65978015869081</v>
      </c>
      <c r="P42" s="75">
        <f>(P41-K41)*10000</f>
        <v>260.86587293796424</v>
      </c>
      <c r="Q42" s="76">
        <f>(Q41-L41)*10000</f>
        <v>234.52381093449964</v>
      </c>
      <c r="R42" s="76">
        <f t="shared" ref="R42" si="33">(R41-M41)*10000</f>
        <v>166.7751052152143</v>
      </c>
      <c r="S42" s="76">
        <f t="shared" ref="S42" si="34">(S41-N41)*10000</f>
        <v>84.50229933635201</v>
      </c>
      <c r="T42" s="76">
        <f t="shared" ref="T42" si="35">(T41-O41)*10000</f>
        <v>-46.402757104715143</v>
      </c>
      <c r="U42" s="75">
        <f>(U41-P41)*10000</f>
        <v>105.41468839798701</v>
      </c>
      <c r="V42" s="77">
        <f>(V41-Q41)*10000</f>
        <v>194.18651287591987</v>
      </c>
      <c r="W42" s="264">
        <f>(W41-R41)*10000</f>
        <v>417.3354493590785</v>
      </c>
      <c r="X42" s="239">
        <f t="shared" ref="X42:Y42" ca="1" si="36">(X41-S41)*10000</f>
        <v>297.86984721894396</v>
      </c>
      <c r="Y42" s="239">
        <f t="shared" ca="1" si="36"/>
        <v>286.80355208366234</v>
      </c>
      <c r="Z42" s="97">
        <f ca="1">(Z41-U41)*10000</f>
        <v>297.28436869182252</v>
      </c>
      <c r="AA42" s="97">
        <f ca="1">(AA41-Z41)*10000</f>
        <v>62.055488297026727</v>
      </c>
      <c r="AB42" s="97">
        <f t="shared" ref="AB42:AC42" ca="1" si="37">(AB41-AA41)*10000</f>
        <v>69.268645138357286</v>
      </c>
      <c r="AC42" s="97">
        <f t="shared" ca="1" si="37"/>
        <v>58.369521670998679</v>
      </c>
      <c r="AD42" s="49"/>
      <c r="AE42" s="49"/>
      <c r="AF42" s="49"/>
      <c r="AG42" s="49"/>
      <c r="AH42" s="49"/>
    </row>
    <row r="43" spans="1:34" s="15" customFormat="1" ht="15" customHeight="1">
      <c r="A43" s="13"/>
      <c r="B43" s="37"/>
      <c r="C43" s="75"/>
      <c r="D43" s="75"/>
      <c r="E43" s="75"/>
      <c r="F43" s="75"/>
      <c r="G43" s="27"/>
      <c r="H43" s="27"/>
      <c r="I43" s="27"/>
      <c r="J43" s="27"/>
      <c r="K43" s="75"/>
      <c r="L43" s="76"/>
      <c r="M43" s="76"/>
      <c r="N43" s="76"/>
      <c r="O43" s="76"/>
      <c r="P43" s="75"/>
      <c r="Q43" s="76"/>
      <c r="R43" s="76"/>
      <c r="S43" s="76"/>
      <c r="T43" s="76"/>
      <c r="U43" s="75"/>
      <c r="V43" s="77"/>
      <c r="W43" s="261"/>
      <c r="X43" s="48"/>
      <c r="Y43" s="48"/>
      <c r="Z43" s="49"/>
      <c r="AA43" s="269"/>
      <c r="AB43" s="49"/>
      <c r="AC43" s="49"/>
      <c r="AD43" s="49"/>
      <c r="AE43" s="49"/>
      <c r="AF43" s="49"/>
      <c r="AG43" s="49"/>
      <c r="AH43" s="49"/>
    </row>
    <row r="44" spans="1:34" ht="15" customHeight="1">
      <c r="A44" s="5" t="s">
        <v>18</v>
      </c>
      <c r="B44" s="8">
        <v>-3.96</v>
      </c>
      <c r="C44" s="8">
        <v>-1.27</v>
      </c>
      <c r="D44" s="8">
        <v>-1.861</v>
      </c>
      <c r="E44" s="8">
        <v>-3.113</v>
      </c>
      <c r="F44" s="8">
        <v>-2.4039999999999999</v>
      </c>
      <c r="G44" s="28">
        <v>-1.264</v>
      </c>
      <c r="H44" s="28">
        <v>-0.85899999999999999</v>
      </c>
      <c r="I44" s="28">
        <v>-2.0539999999999998</v>
      </c>
      <c r="J44" s="28">
        <v>-3.524</v>
      </c>
      <c r="K44" s="8">
        <v>-7.7009999999999996</v>
      </c>
      <c r="L44" s="28">
        <v>-3.96</v>
      </c>
      <c r="M44" s="28">
        <v>-4.8019999999999996</v>
      </c>
      <c r="N44" s="28">
        <v>-5.0389999999999997</v>
      </c>
      <c r="O44" s="28">
        <v>-3.5449999999999999</v>
      </c>
      <c r="P44" s="8">
        <v>-17.346</v>
      </c>
      <c r="Q44" s="28">
        <v>-3.746</v>
      </c>
      <c r="R44" s="28">
        <v>-4.5679999999999996</v>
      </c>
      <c r="S44" s="28">
        <v>-4.673</v>
      </c>
      <c r="T44" s="28">
        <v>-6.0839999999999996</v>
      </c>
      <c r="U44" s="8">
        <v>-19.071000000000002</v>
      </c>
      <c r="V44" s="31">
        <v>-18.13</v>
      </c>
      <c r="W44" s="30">
        <v>-21.591999999999999</v>
      </c>
      <c r="X44" s="50">
        <v>-22</v>
      </c>
      <c r="Y44" s="50">
        <v>-21.3</v>
      </c>
      <c r="Z44" s="47">
        <f>SUM(V44:Y44)</f>
        <v>-83.021999999999991</v>
      </c>
      <c r="AA44" s="51">
        <f>AA46</f>
        <v>-78.959999999999994</v>
      </c>
      <c r="AB44" s="51">
        <f t="shared" ref="AB44:AC44" si="38">AB46</f>
        <v>-66.88</v>
      </c>
      <c r="AC44" s="51">
        <f t="shared" si="38"/>
        <v>-49.3</v>
      </c>
    </row>
    <row r="45" spans="1:34" ht="15" customHeight="1">
      <c r="A45" s="5" t="s">
        <v>58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28">
        <v>0</v>
      </c>
      <c r="H45" s="28">
        <v>0</v>
      </c>
      <c r="I45" s="28">
        <v>0</v>
      </c>
      <c r="J45" s="28">
        <v>0</v>
      </c>
      <c r="K45" s="8">
        <v>0</v>
      </c>
      <c r="L45" s="28">
        <v>0</v>
      </c>
      <c r="M45" s="28">
        <v>0</v>
      </c>
      <c r="N45" s="28">
        <v>0</v>
      </c>
      <c r="O45" s="28">
        <v>0</v>
      </c>
      <c r="P45" s="8">
        <v>0</v>
      </c>
      <c r="Q45" s="28">
        <v>0</v>
      </c>
      <c r="R45" s="28">
        <v>0</v>
      </c>
      <c r="S45" s="28">
        <v>0</v>
      </c>
      <c r="T45" s="28">
        <v>0</v>
      </c>
      <c r="U45" s="8">
        <v>0</v>
      </c>
      <c r="V45" s="30">
        <v>3.0569999999999999</v>
      </c>
      <c r="W45" s="30">
        <v>0</v>
      </c>
      <c r="X45" s="50">
        <v>0</v>
      </c>
      <c r="Y45" s="50">
        <v>0</v>
      </c>
      <c r="Z45" s="51">
        <f>V45</f>
        <v>3.0569999999999999</v>
      </c>
      <c r="AA45" s="51">
        <v>0</v>
      </c>
      <c r="AB45" s="51">
        <v>0</v>
      </c>
      <c r="AC45" s="51">
        <v>0</v>
      </c>
    </row>
    <row r="46" spans="1:34" ht="15" customHeight="1">
      <c r="A46" s="5" t="s">
        <v>59</v>
      </c>
      <c r="B46" s="8">
        <f>SUM(B44:B45)</f>
        <v>-3.96</v>
      </c>
      <c r="C46" s="8">
        <f t="shared" ref="C46:V46" si="39">SUM(C44:C45)</f>
        <v>-1.27</v>
      </c>
      <c r="D46" s="8">
        <f t="shared" si="39"/>
        <v>-1.861</v>
      </c>
      <c r="E46" s="8">
        <f t="shared" si="39"/>
        <v>-3.113</v>
      </c>
      <c r="F46" s="8">
        <f t="shared" si="39"/>
        <v>-2.4039999999999999</v>
      </c>
      <c r="G46" s="28">
        <f t="shared" si="39"/>
        <v>-1.264</v>
      </c>
      <c r="H46" s="28">
        <f t="shared" si="39"/>
        <v>-0.85899999999999999</v>
      </c>
      <c r="I46" s="28">
        <f t="shared" si="39"/>
        <v>-2.0539999999999998</v>
      </c>
      <c r="J46" s="28">
        <f t="shared" si="39"/>
        <v>-3.524</v>
      </c>
      <c r="K46" s="8">
        <f t="shared" si="39"/>
        <v>-7.7009999999999996</v>
      </c>
      <c r="L46" s="28">
        <f t="shared" si="39"/>
        <v>-3.96</v>
      </c>
      <c r="M46" s="28">
        <f t="shared" si="39"/>
        <v>-4.8019999999999996</v>
      </c>
      <c r="N46" s="28">
        <f t="shared" si="39"/>
        <v>-5.0389999999999997</v>
      </c>
      <c r="O46" s="28">
        <f t="shared" si="39"/>
        <v>-3.5449999999999999</v>
      </c>
      <c r="P46" s="8">
        <f t="shared" si="39"/>
        <v>-17.346</v>
      </c>
      <c r="Q46" s="28">
        <f t="shared" si="39"/>
        <v>-3.746</v>
      </c>
      <c r="R46" s="28">
        <f t="shared" si="39"/>
        <v>-4.5679999999999996</v>
      </c>
      <c r="S46" s="28">
        <f t="shared" si="39"/>
        <v>-4.673</v>
      </c>
      <c r="T46" s="28">
        <f t="shared" si="39"/>
        <v>-6.0839999999999996</v>
      </c>
      <c r="U46" s="8">
        <f t="shared" si="39"/>
        <v>-19.071000000000002</v>
      </c>
      <c r="V46" s="30">
        <f t="shared" si="39"/>
        <v>-15.072999999999999</v>
      </c>
      <c r="W46" s="30">
        <f>W44</f>
        <v>-21.591999999999999</v>
      </c>
      <c r="X46" s="50">
        <f>X44</f>
        <v>-22</v>
      </c>
      <c r="Y46" s="50">
        <f>Y44</f>
        <v>-21.3</v>
      </c>
      <c r="Z46" s="51">
        <f>SUM(V46:Y46)</f>
        <v>-79.965000000000003</v>
      </c>
      <c r="AA46" s="51">
        <f>-84*0.94</f>
        <v>-78.959999999999994</v>
      </c>
      <c r="AB46" s="51">
        <f>-76*0.88</f>
        <v>-66.88</v>
      </c>
      <c r="AC46" s="51">
        <f>-58*0.85</f>
        <v>-49.3</v>
      </c>
    </row>
    <row r="47" spans="1:34" ht="15" customHeight="1">
      <c r="A47" s="5" t="s">
        <v>19</v>
      </c>
      <c r="B47" s="8">
        <v>-1.6379999999999999</v>
      </c>
      <c r="C47" s="19">
        <v>0</v>
      </c>
      <c r="D47" s="19">
        <v>0</v>
      </c>
      <c r="E47" s="19">
        <v>0</v>
      </c>
      <c r="F47" s="19">
        <v>0</v>
      </c>
      <c r="G47" s="29">
        <v>0</v>
      </c>
      <c r="H47" s="29">
        <v>0</v>
      </c>
      <c r="I47" s="29">
        <v>0</v>
      </c>
      <c r="J47" s="29">
        <v>0</v>
      </c>
      <c r="K47" s="19">
        <v>0</v>
      </c>
      <c r="L47" s="29">
        <v>0</v>
      </c>
      <c r="M47" s="29">
        <v>0</v>
      </c>
      <c r="N47" s="29">
        <v>0</v>
      </c>
      <c r="O47" s="29">
        <v>0</v>
      </c>
      <c r="P47" s="19">
        <v>0</v>
      </c>
      <c r="Q47" s="29">
        <v>0</v>
      </c>
      <c r="R47" s="29">
        <v>0</v>
      </c>
      <c r="S47" s="29">
        <v>0</v>
      </c>
      <c r="T47" s="29">
        <v>0</v>
      </c>
      <c r="U47" s="19">
        <v>0</v>
      </c>
      <c r="V47" s="30">
        <v>0</v>
      </c>
      <c r="W47" s="30">
        <v>0</v>
      </c>
      <c r="X47" s="50">
        <v>0</v>
      </c>
      <c r="Y47" s="50">
        <v>0</v>
      </c>
      <c r="Z47" s="51">
        <v>0</v>
      </c>
      <c r="AA47" s="51">
        <v>0</v>
      </c>
      <c r="AB47" s="51">
        <v>0</v>
      </c>
      <c r="AC47" s="51">
        <v>0</v>
      </c>
    </row>
    <row r="48" spans="1:34" ht="15" customHeight="1">
      <c r="A48" s="5"/>
      <c r="B48" s="8"/>
      <c r="C48" s="19"/>
      <c r="D48" s="19"/>
      <c r="E48" s="19"/>
      <c r="F48" s="19"/>
      <c r="G48" s="29"/>
      <c r="H48" s="29"/>
      <c r="I48" s="29"/>
      <c r="J48" s="29"/>
      <c r="K48" s="19"/>
      <c r="L48" s="29"/>
      <c r="M48" s="29"/>
      <c r="N48" s="29"/>
      <c r="O48" s="29"/>
      <c r="P48" s="19"/>
      <c r="Q48" s="29"/>
      <c r="R48" s="29"/>
      <c r="S48" s="29"/>
      <c r="T48" s="29"/>
      <c r="U48" s="19"/>
    </row>
    <row r="49" spans="1:34" ht="15" customHeight="1">
      <c r="A49" s="5" t="s">
        <v>21</v>
      </c>
      <c r="B49" s="8">
        <v>40.781999999999996</v>
      </c>
      <c r="C49" s="8">
        <v>60.057000000000002</v>
      </c>
      <c r="D49" s="8">
        <v>55.692999999999998</v>
      </c>
      <c r="E49" s="8">
        <v>52.454000000000001</v>
      </c>
      <c r="F49" s="8">
        <v>28.515999999999998</v>
      </c>
      <c r="G49" s="28">
        <v>7.3109999999999999</v>
      </c>
      <c r="H49" s="28">
        <v>-12.305</v>
      </c>
      <c r="I49" s="28">
        <v>16.123000000000001</v>
      </c>
      <c r="J49" s="28">
        <v>17.183</v>
      </c>
      <c r="K49" s="8">
        <v>28.312000000000001</v>
      </c>
      <c r="L49" s="28">
        <v>2.4020000000000001</v>
      </c>
      <c r="M49" s="28">
        <v>-6.9550000000000001</v>
      </c>
      <c r="N49" s="28">
        <v>28.794</v>
      </c>
      <c r="O49" s="28">
        <v>41.162999999999997</v>
      </c>
      <c r="P49" s="8">
        <v>65.403999999999996</v>
      </c>
      <c r="Q49" s="28">
        <v>12.961</v>
      </c>
      <c r="R49" s="28">
        <v>-1.4450000000000001</v>
      </c>
      <c r="S49" s="28">
        <v>41.015999999999998</v>
      </c>
      <c r="T49" s="28">
        <v>39.567</v>
      </c>
      <c r="U49" s="8">
        <v>92.099000000000004</v>
      </c>
      <c r="V49" s="31">
        <v>-3.9009999999999998</v>
      </c>
      <c r="W49" s="31">
        <v>5.5380000000000003</v>
      </c>
    </row>
    <row r="50" spans="1:34" ht="15" customHeight="1">
      <c r="A50" s="5" t="s">
        <v>60</v>
      </c>
      <c r="B50" s="8">
        <f>B49</f>
        <v>40.781999999999996</v>
      </c>
      <c r="C50" s="8">
        <f t="shared" ref="C50:U50" si="40">C49</f>
        <v>60.057000000000002</v>
      </c>
      <c r="D50" s="8">
        <f t="shared" si="40"/>
        <v>55.692999999999998</v>
      </c>
      <c r="E50" s="8">
        <f t="shared" si="40"/>
        <v>52.454000000000001</v>
      </c>
      <c r="F50" s="8">
        <f t="shared" si="40"/>
        <v>28.515999999999998</v>
      </c>
      <c r="G50" s="28">
        <f t="shared" si="40"/>
        <v>7.3109999999999999</v>
      </c>
      <c r="H50" s="28">
        <f t="shared" si="40"/>
        <v>-12.305</v>
      </c>
      <c r="I50" s="28">
        <f t="shared" si="40"/>
        <v>16.123000000000001</v>
      </c>
      <c r="J50" s="28">
        <f t="shared" si="40"/>
        <v>17.183</v>
      </c>
      <c r="K50" s="8">
        <f t="shared" si="40"/>
        <v>28.312000000000001</v>
      </c>
      <c r="L50" s="28">
        <f t="shared" si="40"/>
        <v>2.4020000000000001</v>
      </c>
      <c r="M50" s="28">
        <f t="shared" si="40"/>
        <v>-6.9550000000000001</v>
      </c>
      <c r="N50" s="28">
        <f t="shared" si="40"/>
        <v>28.794</v>
      </c>
      <c r="O50" s="28">
        <f t="shared" si="40"/>
        <v>41.162999999999997</v>
      </c>
      <c r="P50" s="8">
        <f t="shared" si="40"/>
        <v>65.403999999999996</v>
      </c>
      <c r="Q50" s="28">
        <f t="shared" si="40"/>
        <v>12.961</v>
      </c>
      <c r="R50" s="28">
        <f t="shared" si="40"/>
        <v>-1.4450000000000001</v>
      </c>
      <c r="S50" s="28">
        <f t="shared" si="40"/>
        <v>41.015999999999998</v>
      </c>
      <c r="T50" s="28">
        <f t="shared" si="40"/>
        <v>39.567</v>
      </c>
      <c r="U50" s="8">
        <f t="shared" si="40"/>
        <v>92.099000000000004</v>
      </c>
      <c r="V50" s="62">
        <f>V3+V12+V22+V27+V32+V39+V46</f>
        <v>17.619000000000028</v>
      </c>
      <c r="W50" s="30">
        <f>W3+W12+W22+W27+W32+W39+W46</f>
        <v>5.7589999999999684</v>
      </c>
      <c r="X50" s="50">
        <f ca="1">X3+X12+X22+X27+X32+X39+X46</f>
        <v>72.756920299999976</v>
      </c>
      <c r="Y50" s="50">
        <f ca="1">Y3+Y12+Y22+Y27+Y32+Y39+Y46</f>
        <v>76.052924800000042</v>
      </c>
      <c r="Z50" s="95">
        <f ca="1">SUM(V50:Y50)</f>
        <v>172.1878451</v>
      </c>
      <c r="AA50" s="51">
        <f ca="1">AA3+AA12+AA22+AA27+AA32+AA39+AA46</f>
        <v>228.41659069640014</v>
      </c>
      <c r="AB50" s="51">
        <f ca="1">AB3+AB12+AB22+AB27+AB32+AB39+AB46</f>
        <v>313.57915637641588</v>
      </c>
      <c r="AC50" s="51">
        <f ca="1">AC3+AC12+AC22+AC27+AC32+AC39+AC46</f>
        <v>415.48863758981446</v>
      </c>
    </row>
    <row r="51" spans="1:34" ht="15" customHeight="1">
      <c r="A51" s="5"/>
      <c r="B51" s="7"/>
      <c r="C51" s="7"/>
      <c r="D51" s="7"/>
      <c r="E51" s="7"/>
      <c r="F51" s="7"/>
      <c r="G51" s="25"/>
      <c r="H51" s="25"/>
      <c r="I51" s="25"/>
      <c r="J51" s="25"/>
      <c r="K51" s="7"/>
      <c r="L51" s="25"/>
      <c r="M51" s="25"/>
      <c r="N51" s="25"/>
      <c r="O51" s="25"/>
      <c r="P51" s="7"/>
      <c r="Q51" s="25"/>
      <c r="R51" s="25"/>
      <c r="S51" s="25"/>
      <c r="T51" s="25"/>
      <c r="U51" s="7"/>
    </row>
    <row r="52" spans="1:34" ht="15" customHeight="1">
      <c r="A52" s="5" t="s">
        <v>22</v>
      </c>
      <c r="B52" s="8">
        <v>-14.742000000000001</v>
      </c>
      <c r="C52" s="8">
        <v>-10.525</v>
      </c>
      <c r="D52" s="8">
        <v>-13.909000000000001</v>
      </c>
      <c r="E52" s="8">
        <v>-12.76</v>
      </c>
      <c r="F52" s="8">
        <v>-8.3490000000000002</v>
      </c>
      <c r="G52" s="28">
        <v>-1.8</v>
      </c>
      <c r="H52" s="28">
        <v>2.887</v>
      </c>
      <c r="I52" s="28">
        <v>-3.9550000000000001</v>
      </c>
      <c r="J52" s="28">
        <v>-4.0469999999999997</v>
      </c>
      <c r="K52" s="8">
        <v>-6.915</v>
      </c>
      <c r="L52" s="28">
        <v>-0.51</v>
      </c>
      <c r="M52" s="28">
        <v>1.474</v>
      </c>
      <c r="N52" s="28">
        <v>-7.117</v>
      </c>
      <c r="O52" s="28">
        <v>-10.25</v>
      </c>
      <c r="P52" s="8">
        <v>-16.402999999999999</v>
      </c>
      <c r="Q52" s="28">
        <v>-3.1179999999999999</v>
      </c>
      <c r="R52" s="28">
        <v>0.32100000000000001</v>
      </c>
      <c r="S52" s="28">
        <v>-10.108000000000001</v>
      </c>
      <c r="T52" s="28">
        <v>-10.256</v>
      </c>
      <c r="U52" s="8">
        <v>-23.161000000000001</v>
      </c>
      <c r="V52" s="31">
        <v>0.84899999999999998</v>
      </c>
      <c r="W52" s="31">
        <v>-1.1299999999999999</v>
      </c>
    </row>
    <row r="53" spans="1:34" ht="15" customHeight="1">
      <c r="A53" s="5" t="s">
        <v>38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28">
        <v>0</v>
      </c>
      <c r="H53" s="28">
        <v>0</v>
      </c>
      <c r="I53" s="28">
        <v>0</v>
      </c>
      <c r="J53" s="28">
        <v>0</v>
      </c>
      <c r="K53" s="8">
        <v>0</v>
      </c>
      <c r="L53" s="28">
        <v>0</v>
      </c>
      <c r="M53" s="28">
        <v>0</v>
      </c>
      <c r="N53" s="28">
        <v>0</v>
      </c>
      <c r="O53" s="28">
        <v>0</v>
      </c>
      <c r="P53" s="8">
        <v>0</v>
      </c>
      <c r="Q53" s="28">
        <v>0</v>
      </c>
      <c r="R53" s="28">
        <v>0</v>
      </c>
      <c r="S53" s="28">
        <v>0</v>
      </c>
      <c r="T53" s="28">
        <v>0</v>
      </c>
      <c r="U53" s="8">
        <v>0</v>
      </c>
      <c r="V53" s="30">
        <v>-5.1989999999999998</v>
      </c>
      <c r="W53" s="31">
        <v>-0.15</v>
      </c>
    </row>
    <row r="54" spans="1:34" ht="15" customHeight="1">
      <c r="A54" s="5" t="s">
        <v>57</v>
      </c>
      <c r="B54" s="8">
        <f>SUM(B52:B53)</f>
        <v>-14.742000000000001</v>
      </c>
      <c r="C54" s="8">
        <f t="shared" ref="C54:V54" si="41">SUM(C52:C53)</f>
        <v>-10.525</v>
      </c>
      <c r="D54" s="8">
        <f t="shared" si="41"/>
        <v>-13.909000000000001</v>
      </c>
      <c r="E54" s="8">
        <f t="shared" si="41"/>
        <v>-12.76</v>
      </c>
      <c r="F54" s="8">
        <f t="shared" si="41"/>
        <v>-8.3490000000000002</v>
      </c>
      <c r="G54" s="28">
        <f t="shared" si="41"/>
        <v>-1.8</v>
      </c>
      <c r="H54" s="28">
        <f t="shared" si="41"/>
        <v>2.887</v>
      </c>
      <c r="I54" s="28">
        <f t="shared" si="41"/>
        <v>-3.9550000000000001</v>
      </c>
      <c r="J54" s="28">
        <f t="shared" si="41"/>
        <v>-4.0469999999999997</v>
      </c>
      <c r="K54" s="8">
        <f t="shared" si="41"/>
        <v>-6.915</v>
      </c>
      <c r="L54" s="28">
        <f t="shared" si="41"/>
        <v>-0.51</v>
      </c>
      <c r="M54" s="28">
        <f t="shared" si="41"/>
        <v>1.474</v>
      </c>
      <c r="N54" s="28">
        <f t="shared" si="41"/>
        <v>-7.117</v>
      </c>
      <c r="O54" s="28">
        <f t="shared" si="41"/>
        <v>-10.25</v>
      </c>
      <c r="P54" s="8">
        <f t="shared" si="41"/>
        <v>-16.402999999999999</v>
      </c>
      <c r="Q54" s="28">
        <f t="shared" si="41"/>
        <v>-3.1179999999999999</v>
      </c>
      <c r="R54" s="28">
        <f t="shared" si="41"/>
        <v>0.32100000000000001</v>
      </c>
      <c r="S54" s="28">
        <f t="shared" si="41"/>
        <v>-10.108000000000001</v>
      </c>
      <c r="T54" s="28">
        <f t="shared" si="41"/>
        <v>-10.256</v>
      </c>
      <c r="U54" s="8">
        <f t="shared" si="41"/>
        <v>-23.161000000000001</v>
      </c>
      <c r="V54" s="30">
        <f t="shared" si="41"/>
        <v>-4.3499999999999996</v>
      </c>
      <c r="W54" s="30">
        <f>W52+W53</f>
        <v>-1.2799999999999998</v>
      </c>
      <c r="X54" s="50">
        <f t="shared" ref="X54:Y54" ca="1" si="42">-X55*X50</f>
        <v>-18.189230074999994</v>
      </c>
      <c r="Y54" s="50">
        <f t="shared" ca="1" si="42"/>
        <v>-19.469548748800012</v>
      </c>
      <c r="Z54" s="51">
        <f ca="1">SUM(V54:Y54)</f>
        <v>-43.288778823800001</v>
      </c>
      <c r="AA54" s="51">
        <f ca="1">AA50*-AA55</f>
        <v>-57.446772560144638</v>
      </c>
      <c r="AB54" s="51">
        <f t="shared" ref="AB54:AC54" ca="1" si="43">AB50*-AB55</f>
        <v>-78.8651578286686</v>
      </c>
      <c r="AC54" s="51">
        <f t="shared" ca="1" si="43"/>
        <v>-104.49539235383834</v>
      </c>
    </row>
    <row r="55" spans="1:34" ht="15" customHeight="1">
      <c r="A55" s="5" t="s">
        <v>39</v>
      </c>
      <c r="B55" s="12">
        <f>-B52/B49</f>
        <v>0.3614830072090629</v>
      </c>
      <c r="C55" s="12">
        <f t="shared" ref="C55:U55" si="44">-C52/C49</f>
        <v>0.17525017899661988</v>
      </c>
      <c r="D55" s="12">
        <f t="shared" si="44"/>
        <v>0.2497441330149211</v>
      </c>
      <c r="E55" s="12">
        <f t="shared" si="44"/>
        <v>0.24326076181034811</v>
      </c>
      <c r="F55" s="12">
        <f t="shared" si="44"/>
        <v>0.29278299901809512</v>
      </c>
      <c r="G55" s="26">
        <f>-G52/G49</f>
        <v>0.24620434961017645</v>
      </c>
      <c r="H55" s="26">
        <f t="shared" ref="H55:J55" si="45">-H52/H49</f>
        <v>0.23462007314099961</v>
      </c>
      <c r="I55" s="26">
        <f t="shared" si="45"/>
        <v>0.24530174285182657</v>
      </c>
      <c r="J55" s="26">
        <f t="shared" si="45"/>
        <v>0.2355234825117849</v>
      </c>
      <c r="K55" s="12">
        <f t="shared" si="44"/>
        <v>0.24424272393331448</v>
      </c>
      <c r="L55" s="26">
        <f>-L52/L49</f>
        <v>0.21232306411323895</v>
      </c>
      <c r="M55" s="26">
        <f t="shared" ref="M55:O55" si="46">-M52/M49</f>
        <v>0.21193386053199137</v>
      </c>
      <c r="N55" s="26">
        <f t="shared" si="46"/>
        <v>0.2471695492116413</v>
      </c>
      <c r="O55" s="26">
        <f t="shared" si="46"/>
        <v>0.24901003328231666</v>
      </c>
      <c r="P55" s="12">
        <f t="shared" si="44"/>
        <v>0.25079505840621369</v>
      </c>
      <c r="Q55" s="26">
        <f>-Q52/Q49</f>
        <v>0.24056785741840905</v>
      </c>
      <c r="R55" s="26">
        <f t="shared" ref="R55:T55" si="47">-R52/R49</f>
        <v>0.22214532871972317</v>
      </c>
      <c r="S55" s="26">
        <f t="shared" si="47"/>
        <v>0.24644041349717186</v>
      </c>
      <c r="T55" s="26">
        <f t="shared" si="47"/>
        <v>0.25920590390982384</v>
      </c>
      <c r="U55" s="12">
        <f t="shared" si="44"/>
        <v>0.25147938631255495</v>
      </c>
      <c r="V55" s="57">
        <f>-V54/V50</f>
        <v>0.24689255916907843</v>
      </c>
      <c r="W55" s="257">
        <f>-W54/W50</f>
        <v>0.22226080916825958</v>
      </c>
      <c r="X55" s="87">
        <v>0.25</v>
      </c>
      <c r="Y55" s="87">
        <v>0.25600000000000001</v>
      </c>
      <c r="Z55" s="83">
        <f ca="1">-Z54/Z50</f>
        <v>0.25140438222372524</v>
      </c>
      <c r="AA55" s="105">
        <v>0.2515</v>
      </c>
      <c r="AB55" s="105">
        <v>0.2515</v>
      </c>
      <c r="AC55" s="105">
        <v>0.2515</v>
      </c>
    </row>
    <row r="56" spans="1:34" ht="15" customHeight="1">
      <c r="A56" s="5"/>
      <c r="B56" s="7"/>
      <c r="C56" s="7"/>
      <c r="D56" s="7"/>
      <c r="E56" s="7"/>
      <c r="F56" s="7"/>
      <c r="G56" s="25"/>
      <c r="H56" s="25"/>
      <c r="I56" s="25"/>
      <c r="J56" s="25"/>
      <c r="K56" s="7"/>
      <c r="L56" s="25"/>
      <c r="M56" s="25"/>
      <c r="N56" s="25"/>
      <c r="O56" s="25"/>
      <c r="P56" s="7"/>
      <c r="Q56" s="25"/>
      <c r="R56" s="25"/>
      <c r="S56" s="25"/>
      <c r="T56" s="25"/>
      <c r="U56" s="7"/>
    </row>
    <row r="57" spans="1:34" ht="15" customHeight="1">
      <c r="A57" s="5" t="s">
        <v>23</v>
      </c>
      <c r="B57" s="8">
        <v>0</v>
      </c>
      <c r="C57" s="8">
        <v>1.2589999999999999</v>
      </c>
      <c r="D57" s="8">
        <v>1.337</v>
      </c>
      <c r="E57" s="8">
        <v>0.60299999999999998</v>
      </c>
      <c r="F57" s="8">
        <v>0.01</v>
      </c>
      <c r="G57" s="28">
        <v>0</v>
      </c>
      <c r="H57" s="28">
        <v>0</v>
      </c>
      <c r="I57" s="28">
        <v>0</v>
      </c>
      <c r="J57" s="28">
        <v>-2.1000000000000001E-2</v>
      </c>
      <c r="K57" s="8">
        <v>-2.1000000000000001E-2</v>
      </c>
      <c r="L57" s="28">
        <v>0</v>
      </c>
      <c r="M57" s="28">
        <v>0</v>
      </c>
      <c r="N57" s="28">
        <v>0</v>
      </c>
      <c r="O57" s="28">
        <v>0</v>
      </c>
      <c r="P57" s="8">
        <v>0</v>
      </c>
      <c r="Q57" s="28">
        <v>0</v>
      </c>
      <c r="R57" s="28">
        <v>0</v>
      </c>
      <c r="S57" s="28">
        <v>0</v>
      </c>
      <c r="T57" s="28">
        <v>-3.0000000000000001E-3</v>
      </c>
      <c r="U57" s="8">
        <v>-3.0000000000000001E-3</v>
      </c>
      <c r="V57" s="40">
        <v>1E-3</v>
      </c>
      <c r="W57" s="31">
        <v>-1.2999999999999999E-2</v>
      </c>
    </row>
    <row r="58" spans="1:34" ht="15" customHeight="1" thickBot="1">
      <c r="A58" s="5" t="s">
        <v>24</v>
      </c>
      <c r="B58" s="8">
        <v>26.04</v>
      </c>
      <c r="C58" s="8">
        <v>50.790999999999997</v>
      </c>
      <c r="D58" s="8">
        <v>43.121000000000002</v>
      </c>
      <c r="E58" s="8">
        <v>40.296999999999997</v>
      </c>
      <c r="F58" s="8">
        <v>20.177</v>
      </c>
      <c r="G58" s="28">
        <v>5.5110000000000001</v>
      </c>
      <c r="H58" s="28">
        <v>-9.4179999999999993</v>
      </c>
      <c r="I58" s="28">
        <v>12.167999999999999</v>
      </c>
      <c r="J58" s="28">
        <v>13.115</v>
      </c>
      <c r="K58" s="8">
        <v>21.376000000000001</v>
      </c>
      <c r="L58" s="28">
        <v>1.8919999999999999</v>
      </c>
      <c r="M58" s="28">
        <v>-5.4809999999999999</v>
      </c>
      <c r="N58" s="28">
        <v>21.677</v>
      </c>
      <c r="O58" s="28">
        <v>30.913</v>
      </c>
      <c r="P58" s="8">
        <v>49.000999999999998</v>
      </c>
      <c r="Q58" s="28">
        <v>9.843</v>
      </c>
      <c r="R58" s="28">
        <v>-1.1240000000000001</v>
      </c>
      <c r="S58" s="28">
        <v>30.908000000000001</v>
      </c>
      <c r="T58" s="28">
        <v>29.308</v>
      </c>
      <c r="U58" s="8">
        <v>68.935000000000002</v>
      </c>
      <c r="V58" s="30">
        <v>-3.0510000000000002</v>
      </c>
      <c r="W58" s="31">
        <v>4.2149999999999999</v>
      </c>
    </row>
    <row r="59" spans="1:34" s="23" customFormat="1" ht="15" customHeight="1" thickBot="1">
      <c r="A59" s="34" t="s">
        <v>40</v>
      </c>
      <c r="B59" s="22">
        <f>B58</f>
        <v>26.04</v>
      </c>
      <c r="C59" s="22">
        <f t="shared" ref="C59:U59" si="48">C58</f>
        <v>50.790999999999997</v>
      </c>
      <c r="D59" s="22">
        <f t="shared" si="48"/>
        <v>43.121000000000002</v>
      </c>
      <c r="E59" s="22">
        <f t="shared" si="48"/>
        <v>40.296999999999997</v>
      </c>
      <c r="F59" s="22">
        <f t="shared" si="48"/>
        <v>20.177</v>
      </c>
      <c r="G59" s="32">
        <f>G58</f>
        <v>5.5110000000000001</v>
      </c>
      <c r="H59" s="32">
        <f t="shared" ref="H59:T59" si="49">H58</f>
        <v>-9.4179999999999993</v>
      </c>
      <c r="I59" s="32">
        <f t="shared" si="49"/>
        <v>12.167999999999999</v>
      </c>
      <c r="J59" s="32">
        <f t="shared" si="49"/>
        <v>13.115</v>
      </c>
      <c r="K59" s="22">
        <f t="shared" si="49"/>
        <v>21.376000000000001</v>
      </c>
      <c r="L59" s="32">
        <f t="shared" si="49"/>
        <v>1.8919999999999999</v>
      </c>
      <c r="M59" s="32">
        <f t="shared" si="49"/>
        <v>-5.4809999999999999</v>
      </c>
      <c r="N59" s="32">
        <f t="shared" si="49"/>
        <v>21.677</v>
      </c>
      <c r="O59" s="32">
        <f t="shared" si="49"/>
        <v>30.913</v>
      </c>
      <c r="P59" s="22">
        <f t="shared" si="49"/>
        <v>49.000999999999998</v>
      </c>
      <c r="Q59" s="32">
        <f t="shared" si="49"/>
        <v>9.843</v>
      </c>
      <c r="R59" s="32">
        <f t="shared" si="49"/>
        <v>-1.1240000000000001</v>
      </c>
      <c r="S59" s="32">
        <f t="shared" si="49"/>
        <v>30.908000000000001</v>
      </c>
      <c r="T59" s="32">
        <f t="shared" si="49"/>
        <v>29.308</v>
      </c>
      <c r="U59" s="22">
        <f t="shared" si="48"/>
        <v>68.935000000000002</v>
      </c>
      <c r="V59" s="63">
        <f>V50+V54</f>
        <v>13.269000000000029</v>
      </c>
      <c r="W59" s="103">
        <f>W50+W54+W57</f>
        <v>4.4659999999999691</v>
      </c>
      <c r="X59" s="93">
        <f t="shared" ref="X59:AC59" ca="1" si="50">X50+X54</f>
        <v>54.567690224999978</v>
      </c>
      <c r="Y59" s="93">
        <f t="shared" ca="1" si="50"/>
        <v>56.583376051200034</v>
      </c>
      <c r="Z59" s="94">
        <f ca="1">SUM(V59:Y59)</f>
        <v>128.88606627620001</v>
      </c>
      <c r="AA59" s="104">
        <f t="shared" ca="1" si="50"/>
        <v>170.9698181362555</v>
      </c>
      <c r="AB59" s="104">
        <f t="shared" ca="1" si="50"/>
        <v>234.71399854774728</v>
      </c>
      <c r="AC59" s="104">
        <f t="shared" ca="1" si="50"/>
        <v>310.99324523597613</v>
      </c>
      <c r="AD59" s="60"/>
      <c r="AE59" s="60"/>
      <c r="AF59" s="60"/>
      <c r="AG59" s="60"/>
      <c r="AH59" s="60"/>
    </row>
    <row r="60" spans="1:34" ht="15" customHeight="1">
      <c r="A60" s="5"/>
      <c r="B60" s="7"/>
      <c r="C60" s="7"/>
      <c r="D60" s="7"/>
      <c r="E60" s="7"/>
      <c r="F60" s="7"/>
      <c r="G60" s="25"/>
      <c r="H60" s="25"/>
      <c r="I60" s="25"/>
      <c r="J60" s="25"/>
      <c r="K60" s="7"/>
      <c r="L60" s="25"/>
      <c r="M60" s="25"/>
      <c r="N60" s="25"/>
      <c r="O60" s="25"/>
      <c r="P60" s="7"/>
      <c r="Q60" s="25"/>
      <c r="R60" s="25"/>
      <c r="S60" s="25"/>
      <c r="T60" s="25"/>
      <c r="U60" s="7"/>
    </row>
    <row r="61" spans="1:34" ht="15" customHeight="1">
      <c r="A61" s="5" t="s">
        <v>25</v>
      </c>
      <c r="B61" s="5"/>
      <c r="C61" s="5"/>
      <c r="D61" s="5"/>
      <c r="E61" s="5"/>
      <c r="F61" s="5"/>
      <c r="G61" s="24"/>
      <c r="H61" s="24"/>
      <c r="I61" s="24"/>
      <c r="J61" s="24"/>
      <c r="K61" s="5"/>
      <c r="L61" s="24"/>
      <c r="M61" s="24"/>
      <c r="N61" s="24"/>
      <c r="O61" s="24"/>
      <c r="P61" s="5"/>
      <c r="Q61" s="24"/>
      <c r="R61" s="24"/>
      <c r="S61" s="24"/>
      <c r="T61" s="24"/>
      <c r="U61" s="5"/>
    </row>
    <row r="62" spans="1:34" ht="15" customHeight="1" outlineLevel="1">
      <c r="A62" s="6" t="s">
        <v>26</v>
      </c>
      <c r="B62" s="8">
        <v>0.63</v>
      </c>
      <c r="C62" s="8">
        <v>1.1100000000000001</v>
      </c>
      <c r="D62" s="8">
        <v>0.84</v>
      </c>
      <c r="E62" s="8">
        <v>0.78</v>
      </c>
      <c r="F62" s="8">
        <v>0.39</v>
      </c>
      <c r="G62" s="28">
        <v>0.11</v>
      </c>
      <c r="H62" s="28">
        <v>-0.18</v>
      </c>
      <c r="I62" s="28">
        <v>0.23</v>
      </c>
      <c r="J62" s="28">
        <v>0.25</v>
      </c>
      <c r="K62" s="8">
        <v>0.41</v>
      </c>
      <c r="L62" s="28">
        <v>0.04</v>
      </c>
      <c r="M62" s="28">
        <v>-0.11</v>
      </c>
      <c r="N62" s="28">
        <v>0.41</v>
      </c>
      <c r="O62" s="28">
        <v>0.59</v>
      </c>
      <c r="P62" s="8">
        <v>0.94</v>
      </c>
      <c r="Q62" s="28">
        <v>0.19</v>
      </c>
      <c r="R62" s="28">
        <v>-0.02</v>
      </c>
      <c r="S62" s="28">
        <v>0.59</v>
      </c>
      <c r="T62" s="28">
        <v>0.56000000000000005</v>
      </c>
      <c r="U62" s="8">
        <v>1.31</v>
      </c>
      <c r="V62" s="30">
        <f t="shared" ref="V62:AA62" si="51">V59/V66</f>
        <v>0.24499487327594535</v>
      </c>
      <c r="W62" s="265">
        <f t="shared" si="51"/>
        <v>8.0223251284909716E-2</v>
      </c>
      <c r="X62" s="98">
        <f t="shared" ca="1" si="51"/>
        <v>0.9779155954301072</v>
      </c>
      <c r="Y62" s="98">
        <f t="shared" ca="1" si="51"/>
        <v>1.0158595341328551</v>
      </c>
      <c r="Z62" s="51">
        <f t="shared" ca="1" si="51"/>
        <v>2.3293017272351872</v>
      </c>
      <c r="AA62" s="51">
        <f t="shared" ca="1" si="51"/>
        <v>3.0714344344180011</v>
      </c>
      <c r="AB62" s="51">
        <f t="shared" ref="AB62:AC62" ca="1" si="52">AB59/AB66</f>
        <v>4.1914357233990014</v>
      </c>
      <c r="AC62" s="51">
        <f t="shared" ca="1" si="52"/>
        <v>5.5204794049980075</v>
      </c>
    </row>
    <row r="63" spans="1:34" ht="15" customHeight="1" outlineLevel="1">
      <c r="A63" s="6"/>
      <c r="B63" s="8"/>
      <c r="C63" s="8"/>
      <c r="D63" s="8"/>
      <c r="E63" s="8"/>
      <c r="F63" s="8"/>
      <c r="G63" s="28"/>
      <c r="H63" s="28"/>
      <c r="I63" s="28"/>
      <c r="J63" s="28"/>
      <c r="K63" s="8"/>
      <c r="L63" s="28"/>
      <c r="M63" s="28"/>
      <c r="N63" s="28"/>
      <c r="O63" s="28"/>
      <c r="P63" s="8"/>
      <c r="Q63" s="28"/>
      <c r="R63" s="28"/>
      <c r="S63" s="28"/>
      <c r="T63" s="28"/>
      <c r="U63" s="12">
        <f>U62/P62-1</f>
        <v>0.39361702127659592</v>
      </c>
      <c r="V63" s="57">
        <f>V62/Q62-1</f>
        <v>0.28944670145234386</v>
      </c>
      <c r="W63" s="265"/>
      <c r="X63" s="98"/>
      <c r="Y63" s="98"/>
      <c r="Z63" s="83">
        <f ca="1">Z62/U62-1</f>
        <v>0.7780929215535779</v>
      </c>
      <c r="AA63" s="83">
        <f ca="1">AA62/Z62-1</f>
        <v>0.31860737426391883</v>
      </c>
      <c r="AB63" s="83">
        <f t="shared" ref="AB63:AC63" ca="1" si="53">AB62/AA62-1</f>
        <v>0.36465088638404453</v>
      </c>
      <c r="AC63" s="83">
        <f t="shared" ca="1" si="53"/>
        <v>0.31708554521772125</v>
      </c>
    </row>
    <row r="64" spans="1:34" ht="15" customHeight="1" outlineLevel="1">
      <c r="A64" s="6"/>
      <c r="B64" s="8"/>
      <c r="C64" s="8"/>
      <c r="D64" s="8"/>
      <c r="E64" s="8"/>
      <c r="F64" s="8"/>
      <c r="G64" s="28"/>
      <c r="H64" s="28"/>
      <c r="I64" s="28"/>
      <c r="J64" s="28"/>
      <c r="K64" s="8"/>
      <c r="L64" s="28"/>
      <c r="M64" s="28"/>
      <c r="N64" s="28"/>
      <c r="O64" s="28"/>
      <c r="P64" s="8"/>
      <c r="Q64" s="28"/>
      <c r="R64" s="28"/>
      <c r="S64" s="28"/>
      <c r="T64" s="28"/>
      <c r="U64" s="12"/>
      <c r="V64" s="30"/>
      <c r="W64" s="265"/>
      <c r="X64" s="98"/>
      <c r="Y64" s="98"/>
      <c r="Z64" s="83"/>
      <c r="AA64" s="83"/>
      <c r="AB64" s="83"/>
      <c r="AC64" s="83">
        <f ca="1">(AC62/Z62)^(1/3)-1</f>
        <v>0.33326664749600243</v>
      </c>
    </row>
    <row r="65" spans="1:34" ht="15" customHeight="1">
      <c r="A65" s="5" t="s">
        <v>27</v>
      </c>
      <c r="B65" s="5"/>
      <c r="C65" s="5"/>
      <c r="D65" s="5"/>
      <c r="E65" s="5"/>
      <c r="F65" s="5"/>
      <c r="G65" s="24"/>
      <c r="H65" s="24"/>
      <c r="I65" s="24"/>
      <c r="J65" s="24"/>
      <c r="K65" s="5"/>
      <c r="L65" s="24"/>
      <c r="M65" s="24"/>
      <c r="N65" s="24"/>
      <c r="O65" s="24"/>
      <c r="P65" s="5"/>
      <c r="Q65" s="24"/>
      <c r="R65" s="24"/>
      <c r="S65" s="24"/>
      <c r="T65" s="24"/>
      <c r="U65" s="5"/>
      <c r="AB65"/>
    </row>
    <row r="66" spans="1:34" ht="15" customHeight="1" outlineLevel="1">
      <c r="A66" s="6" t="s">
        <v>26</v>
      </c>
      <c r="B66" s="7">
        <v>41.550293000000003</v>
      </c>
      <c r="C66" s="7">
        <v>45.919648000000002</v>
      </c>
      <c r="D66" s="7">
        <v>51.427219999999998</v>
      </c>
      <c r="E66" s="7">
        <v>51.636933999999997</v>
      </c>
      <c r="F66" s="7">
        <v>51.773212999999998</v>
      </c>
      <c r="G66" s="25">
        <v>51.977974000000003</v>
      </c>
      <c r="H66" s="25">
        <v>51.793443000000003</v>
      </c>
      <c r="I66" s="25">
        <v>51.888511000000001</v>
      </c>
      <c r="J66" s="25">
        <v>52.027267000000002</v>
      </c>
      <c r="K66" s="7">
        <v>51.957419999999999</v>
      </c>
      <c r="L66" s="25">
        <v>52.120584000000001</v>
      </c>
      <c r="M66" s="25">
        <v>51.827365</v>
      </c>
      <c r="N66" s="25">
        <v>52.293846000000002</v>
      </c>
      <c r="O66" s="25">
        <v>52.406500999999999</v>
      </c>
      <c r="P66" s="7">
        <v>52.260205999999997</v>
      </c>
      <c r="Q66" s="25">
        <v>52.430864</v>
      </c>
      <c r="R66" s="25">
        <v>51.938215999999997</v>
      </c>
      <c r="S66" s="25">
        <v>52.654882000000001</v>
      </c>
      <c r="T66" s="25">
        <v>52.590344000000002</v>
      </c>
      <c r="U66" s="7">
        <v>52.574503</v>
      </c>
      <c r="V66" s="30">
        <v>54.160316999999999</v>
      </c>
      <c r="W66" s="30">
        <v>55.669646</v>
      </c>
      <c r="X66" s="50">
        <v>55.8</v>
      </c>
      <c r="Y66" s="50">
        <v>55.7</v>
      </c>
      <c r="Z66" s="51">
        <f>AVERAGE(V66:Y66)</f>
        <v>55.332490749999991</v>
      </c>
      <c r="AA66" s="51">
        <f>Z66*(1+AA67)</f>
        <v>55.664485694499994</v>
      </c>
      <c r="AB66" s="51">
        <f t="shared" ref="AB66:AC66" si="54">AA66*(1+AB67)</f>
        <v>55.998472608666994</v>
      </c>
      <c r="AC66" s="51">
        <f t="shared" si="54"/>
        <v>56.334463444318999</v>
      </c>
    </row>
    <row r="67" spans="1:34" ht="15" customHeight="1">
      <c r="C67" s="89">
        <f>C66/B66-1</f>
        <v>0.10515822355332127</v>
      </c>
      <c r="D67" s="89">
        <f t="shared" ref="D67:F67" si="55">D66/C66-1</f>
        <v>0.11993933402973811</v>
      </c>
      <c r="E67" s="89">
        <f t="shared" si="55"/>
        <v>4.0778793798303958E-3</v>
      </c>
      <c r="F67" s="89">
        <f t="shared" si="55"/>
        <v>2.6391768341629263E-3</v>
      </c>
      <c r="K67" s="89">
        <f>K66/F66-1</f>
        <v>3.5579595958241672E-3</v>
      </c>
      <c r="L67" s="57">
        <f>L66/G66-1</f>
        <v>2.7436621519723037E-3</v>
      </c>
      <c r="M67" s="57">
        <f t="shared" ref="M67:O67" si="56">M66/H66-1</f>
        <v>6.549477701258688E-4</v>
      </c>
      <c r="N67" s="57">
        <f t="shared" si="56"/>
        <v>7.8116521786488757E-3</v>
      </c>
      <c r="O67" s="57">
        <f t="shared" si="56"/>
        <v>7.2891393660943216E-3</v>
      </c>
      <c r="P67" s="89">
        <f>P66/K66-1</f>
        <v>5.8275795834357158E-3</v>
      </c>
      <c r="Q67" s="57">
        <f>Q66/L66-1</f>
        <v>5.9531182536249894E-3</v>
      </c>
      <c r="R67" s="57">
        <f t="shared" ref="R67:T67" si="57">R66/M66-1</f>
        <v>2.1388507789272815E-3</v>
      </c>
      <c r="S67" s="57">
        <f t="shared" si="57"/>
        <v>6.9039863696389592E-3</v>
      </c>
      <c r="T67" s="57">
        <f t="shared" si="57"/>
        <v>3.5080189765006597E-3</v>
      </c>
      <c r="U67" s="89">
        <f t="shared" ref="U67:Z67" si="58">U66/P66-1</f>
        <v>6.0140788576303894E-3</v>
      </c>
      <c r="V67" s="57">
        <f t="shared" si="58"/>
        <v>3.2985399592118103E-2</v>
      </c>
      <c r="W67" s="57">
        <f t="shared" si="58"/>
        <v>7.1843630516689405E-2</v>
      </c>
      <c r="X67" s="84">
        <f t="shared" si="58"/>
        <v>5.9730795712351847E-2</v>
      </c>
      <c r="Y67" s="84">
        <f t="shared" si="58"/>
        <v>5.9129790061841048E-2</v>
      </c>
      <c r="Z67" s="83">
        <f t="shared" si="58"/>
        <v>5.2458655671932641E-2</v>
      </c>
      <c r="AA67" s="105">
        <v>6.0000000000000001E-3</v>
      </c>
      <c r="AB67" s="105">
        <v>6.0000000000000001E-3</v>
      </c>
      <c r="AC67" s="105">
        <v>6.0000000000000001E-3</v>
      </c>
    </row>
    <row r="69" spans="1:34" s="10" customFormat="1" ht="15" customHeight="1">
      <c r="A69" s="187" t="s">
        <v>81</v>
      </c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</row>
    <row r="70" spans="1:34" ht="15" customHeight="1">
      <c r="A70" s="188" t="s">
        <v>82</v>
      </c>
      <c r="B70" s="189">
        <v>328.55</v>
      </c>
      <c r="C70" s="189">
        <v>496.31</v>
      </c>
      <c r="D70" s="189">
        <v>531.76900000000001</v>
      </c>
      <c r="E70" s="189">
        <v>628.11400000000003</v>
      </c>
      <c r="F70" s="189">
        <v>806.62</v>
      </c>
      <c r="G70" s="30">
        <v>872.58399999999995</v>
      </c>
      <c r="H70" s="30">
        <v>937.57500000000005</v>
      </c>
      <c r="I70" s="30">
        <v>1020.3390000000001</v>
      </c>
      <c r="J70" s="30">
        <v>1095.521</v>
      </c>
      <c r="K70" s="195">
        <v>1095.521</v>
      </c>
      <c r="L70" s="30">
        <v>1129.0039999999999</v>
      </c>
      <c r="M70" s="30">
        <v>1140.8209999999999</v>
      </c>
      <c r="N70" s="30">
        <v>1183.8389999999999</v>
      </c>
      <c r="O70" s="30">
        <v>1219.665</v>
      </c>
      <c r="P70" s="195">
        <v>1219.665</v>
      </c>
      <c r="Q70" s="30">
        <v>1276.1500000000001</v>
      </c>
      <c r="R70" s="30">
        <v>1313.4</v>
      </c>
      <c r="S70" s="30">
        <v>1432.096</v>
      </c>
      <c r="T70" s="30">
        <v>1542.135</v>
      </c>
      <c r="U70" s="195">
        <v>1542.135</v>
      </c>
      <c r="V70" s="30">
        <v>2567.9160000000002</v>
      </c>
      <c r="W70" s="266">
        <v>2753.5259999999998</v>
      </c>
    </row>
    <row r="71" spans="1:34" ht="15" customHeight="1">
      <c r="A71" s="190" t="s">
        <v>83</v>
      </c>
      <c r="B71" s="189">
        <v>175.13</v>
      </c>
      <c r="C71" s="189">
        <v>267.45499999999998</v>
      </c>
      <c r="D71" s="189">
        <v>279.96600000000001</v>
      </c>
      <c r="E71" s="189">
        <v>331.56099999999998</v>
      </c>
      <c r="F71" s="189">
        <v>300.02600000000001</v>
      </c>
      <c r="G71" s="30">
        <v>298.52100000000002</v>
      </c>
      <c r="H71" s="30">
        <v>313.959</v>
      </c>
      <c r="I71" s="30">
        <v>389.14</v>
      </c>
      <c r="J71" s="30">
        <v>417.18900000000002</v>
      </c>
      <c r="K71" s="195">
        <v>417.18900000000002</v>
      </c>
      <c r="L71" s="30">
        <v>401.11500000000001</v>
      </c>
      <c r="M71" s="30">
        <v>406.11500000000001</v>
      </c>
      <c r="N71" s="30">
        <v>441.29700000000003</v>
      </c>
      <c r="O71" s="30">
        <v>473.42399999999998</v>
      </c>
      <c r="P71" s="195">
        <v>473.42399999999998</v>
      </c>
      <c r="Q71" s="30">
        <v>461.37</v>
      </c>
      <c r="R71" s="30">
        <v>475.46199999999999</v>
      </c>
      <c r="S71" s="30">
        <v>554.18600000000004</v>
      </c>
      <c r="T71" s="30">
        <v>585.00599999999997</v>
      </c>
      <c r="U71" s="195">
        <v>585.00599999999997</v>
      </c>
      <c r="V71" s="30">
        <v>723.11599999999999</v>
      </c>
      <c r="W71" s="266">
        <v>729.51199999999994</v>
      </c>
    </row>
    <row r="72" spans="1:34" ht="15" customHeight="1">
      <c r="A72" s="191" t="s">
        <v>84</v>
      </c>
      <c r="B72" s="189">
        <v>27.547000000000001</v>
      </c>
      <c r="C72" s="189">
        <v>99.137</v>
      </c>
      <c r="D72" s="189">
        <v>80.619</v>
      </c>
      <c r="E72" s="189">
        <v>148.316</v>
      </c>
      <c r="F72" s="189">
        <v>57.250999999999998</v>
      </c>
      <c r="G72" s="30">
        <v>35.564999999999998</v>
      </c>
      <c r="H72" s="30">
        <v>29.608000000000001</v>
      </c>
      <c r="I72" s="30">
        <v>26.079000000000001</v>
      </c>
      <c r="J72" s="30">
        <v>35.530999999999999</v>
      </c>
      <c r="K72" s="195">
        <v>35.530999999999999</v>
      </c>
      <c r="L72" s="30">
        <v>43.234000000000002</v>
      </c>
      <c r="M72" s="30">
        <v>30.512</v>
      </c>
      <c r="N72" s="30">
        <v>54.878</v>
      </c>
      <c r="O72" s="30">
        <v>48.243000000000002</v>
      </c>
      <c r="P72" s="195">
        <v>48.243000000000002</v>
      </c>
      <c r="Q72" s="30">
        <v>68.738</v>
      </c>
      <c r="R72" s="30">
        <v>47.957000000000001</v>
      </c>
      <c r="S72" s="30">
        <v>56.326999999999998</v>
      </c>
      <c r="T72" s="30">
        <v>74.686000000000007</v>
      </c>
      <c r="U72" s="195">
        <v>74.686000000000007</v>
      </c>
      <c r="V72" s="30">
        <v>132.50399999999999</v>
      </c>
      <c r="W72" s="266">
        <v>101.855</v>
      </c>
      <c r="X72" s="78">
        <f ca="1">W72+X220</f>
        <v>74.279696871762965</v>
      </c>
      <c r="Y72" s="78">
        <f ca="1">X72+Y220</f>
        <v>101.76210953005595</v>
      </c>
      <c r="AA72" s="47">
        <f ca="1">AA3*0.035</f>
        <v>112.21497226800004</v>
      </c>
    </row>
    <row r="73" spans="1:34" ht="15" customHeight="1">
      <c r="A73" s="191" t="s">
        <v>85</v>
      </c>
      <c r="B73" s="188"/>
      <c r="C73" s="188"/>
      <c r="D73" s="188"/>
      <c r="E73" s="188"/>
      <c r="F73" s="189">
        <v>0</v>
      </c>
      <c r="G73" s="30">
        <v>6.5679999999999996</v>
      </c>
      <c r="H73" s="30">
        <v>1.7210000000000001</v>
      </c>
      <c r="I73" s="30">
        <v>0.105</v>
      </c>
      <c r="J73" s="30">
        <v>2.8000000000000001E-2</v>
      </c>
      <c r="K73" s="195">
        <v>2.8000000000000001E-2</v>
      </c>
      <c r="L73" s="30">
        <v>0.27500000000000002</v>
      </c>
      <c r="M73" s="30">
        <v>0.11899999999999999</v>
      </c>
      <c r="N73" s="30">
        <v>7.0999999999999994E-2</v>
      </c>
      <c r="O73" s="30">
        <v>0.83699999999999997</v>
      </c>
      <c r="P73" s="195">
        <v>0.83699999999999997</v>
      </c>
      <c r="Q73" s="30">
        <v>0.97299999999999998</v>
      </c>
      <c r="R73" s="30">
        <v>2.4790000000000001</v>
      </c>
      <c r="S73" s="30">
        <v>2.1160000000000001</v>
      </c>
      <c r="T73" s="30">
        <v>1.998</v>
      </c>
      <c r="U73" s="195">
        <v>1.998</v>
      </c>
      <c r="V73" s="30">
        <v>0.56399999999999995</v>
      </c>
      <c r="W73" s="266">
        <v>1.7290000000000001</v>
      </c>
      <c r="Y73" s="46">
        <f ca="1">Y72/Z3</f>
        <v>3.618330146312479E-2</v>
      </c>
    </row>
    <row r="74" spans="1:34" ht="15" customHeight="1">
      <c r="A74" s="191" t="s">
        <v>86</v>
      </c>
      <c r="B74" s="189">
        <v>120.98399999999999</v>
      </c>
      <c r="C74" s="189">
        <v>120.291</v>
      </c>
      <c r="D74" s="189">
        <v>139.88200000000001</v>
      </c>
      <c r="E74" s="189">
        <v>131.77000000000001</v>
      </c>
      <c r="F74" s="189">
        <v>158.16999999999999</v>
      </c>
      <c r="G74" s="30">
        <v>164.45599999999999</v>
      </c>
      <c r="H74" s="30">
        <v>170.739</v>
      </c>
      <c r="I74" s="30">
        <v>239.99</v>
      </c>
      <c r="J74" s="30">
        <v>265.20699999999999</v>
      </c>
      <c r="K74" s="195">
        <v>265.20699999999999</v>
      </c>
      <c r="L74" s="30">
        <v>230.31</v>
      </c>
      <c r="M74" s="30">
        <v>243.261</v>
      </c>
      <c r="N74" s="30">
        <v>254.97200000000001</v>
      </c>
      <c r="O74" s="30">
        <v>303.70400000000001</v>
      </c>
      <c r="P74" s="195">
        <v>303.70400000000001</v>
      </c>
      <c r="Q74" s="30">
        <v>255.529</v>
      </c>
      <c r="R74" s="30">
        <v>275.57</v>
      </c>
      <c r="S74" s="30">
        <v>340.68400000000003</v>
      </c>
      <c r="T74" s="30">
        <v>350.81099999999998</v>
      </c>
      <c r="U74" s="195">
        <v>350.81099999999998</v>
      </c>
      <c r="V74" s="30">
        <v>384.07600000000002</v>
      </c>
      <c r="W74" s="266">
        <v>409.209</v>
      </c>
    </row>
    <row r="75" spans="1:34" ht="15" customHeight="1">
      <c r="A75" s="191" t="s">
        <v>87</v>
      </c>
      <c r="B75" s="189">
        <v>4.5919999999999996</v>
      </c>
      <c r="C75" s="189">
        <v>9.3339999999999996</v>
      </c>
      <c r="D75" s="189">
        <v>12.03</v>
      </c>
      <c r="E75" s="189">
        <v>7.8730000000000002</v>
      </c>
      <c r="F75" s="189">
        <v>23.023</v>
      </c>
      <c r="G75" s="30">
        <v>21.96</v>
      </c>
      <c r="H75" s="30">
        <v>24.408999999999999</v>
      </c>
      <c r="I75" s="30">
        <v>32.634999999999998</v>
      </c>
      <c r="J75" s="30">
        <v>29.271000000000001</v>
      </c>
      <c r="K75" s="195">
        <v>29.271000000000001</v>
      </c>
      <c r="L75" s="30">
        <v>32.395000000000003</v>
      </c>
      <c r="M75" s="30">
        <v>29.126000000000001</v>
      </c>
      <c r="N75" s="30">
        <v>33.448999999999998</v>
      </c>
      <c r="O75" s="30">
        <v>27.295999999999999</v>
      </c>
      <c r="P75" s="195">
        <v>27.295999999999999</v>
      </c>
      <c r="Q75" s="30">
        <v>30.439</v>
      </c>
      <c r="R75" s="30">
        <v>36.119999999999997</v>
      </c>
      <c r="S75" s="30">
        <v>32.549999999999997</v>
      </c>
      <c r="T75" s="30">
        <v>25.966000000000001</v>
      </c>
      <c r="U75" s="195">
        <v>25.966000000000001</v>
      </c>
      <c r="V75" s="30">
        <v>35.704999999999998</v>
      </c>
      <c r="W75" s="266">
        <v>46.488</v>
      </c>
    </row>
    <row r="76" spans="1:34" ht="15" customHeight="1">
      <c r="A76" s="191" t="s">
        <v>88</v>
      </c>
      <c r="B76" s="189">
        <v>17.486999999999998</v>
      </c>
      <c r="C76" s="189">
        <v>24.556000000000001</v>
      </c>
      <c r="D76" s="189">
        <v>34.290999999999997</v>
      </c>
      <c r="E76" s="189">
        <v>38.561</v>
      </c>
      <c r="F76" s="189">
        <v>53.792000000000002</v>
      </c>
      <c r="G76" s="30">
        <v>57.707000000000001</v>
      </c>
      <c r="H76" s="30">
        <v>69.5</v>
      </c>
      <c r="I76" s="30">
        <v>77.382999999999996</v>
      </c>
      <c r="J76" s="30">
        <v>74.194999999999993</v>
      </c>
      <c r="K76" s="195">
        <v>74.194999999999993</v>
      </c>
      <c r="L76" s="30">
        <v>79.558000000000007</v>
      </c>
      <c r="M76" s="30">
        <v>86.197000000000003</v>
      </c>
      <c r="N76" s="30">
        <v>88.233000000000004</v>
      </c>
      <c r="O76" s="30">
        <v>84.037999999999997</v>
      </c>
      <c r="P76" s="195">
        <v>84.037999999999997</v>
      </c>
      <c r="Q76" s="30">
        <v>96.662000000000006</v>
      </c>
      <c r="R76" s="30">
        <v>102.75</v>
      </c>
      <c r="S76" s="30">
        <v>104.554</v>
      </c>
      <c r="T76" s="30">
        <v>106.70399999999999</v>
      </c>
      <c r="U76" s="195">
        <v>106.70399999999999</v>
      </c>
      <c r="V76" s="30">
        <v>145.208</v>
      </c>
      <c r="W76" s="266">
        <v>146.90100000000001</v>
      </c>
    </row>
    <row r="77" spans="1:34" ht="15" customHeight="1">
      <c r="A77" s="191" t="s">
        <v>89</v>
      </c>
      <c r="B77" s="189">
        <v>4.5199999999999996</v>
      </c>
      <c r="C77" s="189">
        <v>14.137</v>
      </c>
      <c r="D77" s="189">
        <v>13.144</v>
      </c>
      <c r="E77" s="189">
        <v>5.0410000000000004</v>
      </c>
      <c r="F77" s="189">
        <v>7.79</v>
      </c>
      <c r="G77" s="30">
        <v>12.265000000000001</v>
      </c>
      <c r="H77" s="30">
        <v>17.981999999999999</v>
      </c>
      <c r="I77" s="30">
        <v>12.948</v>
      </c>
      <c r="J77" s="30">
        <v>12.957000000000001</v>
      </c>
      <c r="K77" s="195">
        <v>12.957000000000001</v>
      </c>
      <c r="L77" s="30">
        <v>15.343</v>
      </c>
      <c r="M77" s="30">
        <v>16.899999999999999</v>
      </c>
      <c r="N77" s="30">
        <v>9.6940000000000008</v>
      </c>
      <c r="O77" s="30">
        <v>9.3059999999999992</v>
      </c>
      <c r="P77" s="195">
        <v>9.3059999999999992</v>
      </c>
      <c r="Q77" s="30">
        <v>9.0289999999999999</v>
      </c>
      <c r="R77" s="30">
        <v>10.586</v>
      </c>
      <c r="S77" s="30">
        <v>17.954999999999998</v>
      </c>
      <c r="T77" s="30">
        <v>24.841000000000001</v>
      </c>
      <c r="U77" s="195">
        <v>24.841000000000001</v>
      </c>
      <c r="V77" s="30">
        <v>25.059000000000001</v>
      </c>
      <c r="W77" s="266">
        <v>23.33</v>
      </c>
    </row>
    <row r="78" spans="1:34" ht="15" customHeight="1">
      <c r="A78" s="192" t="s">
        <v>90</v>
      </c>
      <c r="B78" s="189">
        <v>115.911</v>
      </c>
      <c r="C78" s="189">
        <v>178.69200000000001</v>
      </c>
      <c r="D78" s="189">
        <v>205.87</v>
      </c>
      <c r="E78" s="189">
        <v>237.23</v>
      </c>
      <c r="F78" s="189">
        <v>404.83199999999999</v>
      </c>
      <c r="G78" s="30">
        <v>428.96499999999997</v>
      </c>
      <c r="H78" s="30">
        <v>454.63</v>
      </c>
      <c r="I78" s="30">
        <v>453.97300000000001</v>
      </c>
      <c r="J78" s="30">
        <v>481.41199999999998</v>
      </c>
      <c r="K78" s="195">
        <v>481.41199999999998</v>
      </c>
      <c r="L78" s="30">
        <v>498.29300000000001</v>
      </c>
      <c r="M78" s="30">
        <v>502.98500000000001</v>
      </c>
      <c r="N78" s="30">
        <v>502.73200000000003</v>
      </c>
      <c r="O78" s="30">
        <v>505.09500000000003</v>
      </c>
      <c r="P78" s="195">
        <v>505.09500000000003</v>
      </c>
      <c r="Q78" s="30">
        <v>561.66099999999994</v>
      </c>
      <c r="R78" s="30">
        <v>565.351</v>
      </c>
      <c r="S78" s="30">
        <v>579.10599999999999</v>
      </c>
      <c r="T78" s="30">
        <v>629.92399999999998</v>
      </c>
      <c r="U78" s="195">
        <v>629.92399999999998</v>
      </c>
      <c r="V78" s="30">
        <v>1030.8920000000001</v>
      </c>
      <c r="W78" s="266">
        <v>1103.3920000000001</v>
      </c>
    </row>
    <row r="79" spans="1:34" ht="15" customHeight="1">
      <c r="A79" s="192" t="s">
        <v>91</v>
      </c>
      <c r="B79" s="188"/>
      <c r="C79" s="188"/>
      <c r="D79" s="189">
        <v>0</v>
      </c>
      <c r="E79" s="189">
        <v>7.383</v>
      </c>
      <c r="F79" s="189">
        <v>6.5350000000000001</v>
      </c>
      <c r="G79" s="30">
        <v>11.003</v>
      </c>
      <c r="H79" s="30">
        <v>11.507999999999999</v>
      </c>
      <c r="I79" s="30">
        <v>11.164999999999999</v>
      </c>
      <c r="J79" s="30">
        <v>13.984999999999999</v>
      </c>
      <c r="K79" s="195">
        <v>13.984999999999999</v>
      </c>
      <c r="L79" s="30">
        <v>17.734999999999999</v>
      </c>
      <c r="M79" s="30">
        <v>16.792000000000002</v>
      </c>
      <c r="N79" s="30">
        <v>17.484000000000002</v>
      </c>
      <c r="O79" s="30">
        <v>14.484999999999999</v>
      </c>
      <c r="P79" s="195">
        <v>14.484999999999999</v>
      </c>
      <c r="Q79" s="30">
        <v>18.414999999999999</v>
      </c>
      <c r="R79" s="30">
        <v>26.721</v>
      </c>
      <c r="S79" s="30">
        <v>33.329000000000001</v>
      </c>
      <c r="T79" s="30">
        <v>38.932000000000002</v>
      </c>
      <c r="U79" s="195">
        <v>38.932000000000002</v>
      </c>
      <c r="V79" s="30">
        <v>42.512999999999998</v>
      </c>
      <c r="W79" s="266">
        <v>56.335999999999999</v>
      </c>
    </row>
    <row r="80" spans="1:34" ht="15" customHeight="1">
      <c r="A80" s="192" t="s">
        <v>92</v>
      </c>
      <c r="B80" s="189">
        <v>30.6</v>
      </c>
      <c r="C80" s="189">
        <v>32.918999999999997</v>
      </c>
      <c r="D80" s="189">
        <v>38.545999999999999</v>
      </c>
      <c r="E80" s="189">
        <v>46.347999999999999</v>
      </c>
      <c r="F80" s="189">
        <v>85.421999999999997</v>
      </c>
      <c r="G80" s="30">
        <v>120.986</v>
      </c>
      <c r="H80" s="30">
        <v>132.78899999999999</v>
      </c>
      <c r="I80" s="30">
        <v>124.98699999999999</v>
      </c>
      <c r="J80" s="30">
        <v>129.465</v>
      </c>
      <c r="K80" s="195">
        <v>129.465</v>
      </c>
      <c r="L80" s="30">
        <v>159.94900000000001</v>
      </c>
      <c r="M80" s="30">
        <v>163.38499999999999</v>
      </c>
      <c r="N80" s="30">
        <v>157.28899999999999</v>
      </c>
      <c r="O80" s="30">
        <v>159.27000000000001</v>
      </c>
      <c r="P80" s="195">
        <v>159.27000000000001</v>
      </c>
      <c r="Q80" s="30">
        <v>176.53</v>
      </c>
      <c r="R80" s="30">
        <v>181.46700000000001</v>
      </c>
      <c r="S80" s="30">
        <v>200.333</v>
      </c>
      <c r="T80" s="30">
        <v>231.65600000000001</v>
      </c>
      <c r="U80" s="195">
        <v>231.65600000000001</v>
      </c>
      <c r="V80" s="30">
        <v>644.20600000000002</v>
      </c>
      <c r="W80" s="266">
        <v>745.04</v>
      </c>
    </row>
    <row r="81" spans="1:23" ht="15" customHeight="1">
      <c r="A81" s="192" t="s">
        <v>93</v>
      </c>
      <c r="B81" s="189">
        <v>2.5499999999999998</v>
      </c>
      <c r="C81" s="189">
        <v>3.7349999999999999</v>
      </c>
      <c r="D81" s="189">
        <v>3.4340000000000002</v>
      </c>
      <c r="E81" s="189">
        <v>3.2240000000000002</v>
      </c>
      <c r="F81" s="189">
        <v>4.1630000000000003</v>
      </c>
      <c r="G81" s="30">
        <v>4.0750000000000002</v>
      </c>
      <c r="H81" s="30">
        <v>3.9860000000000002</v>
      </c>
      <c r="I81" s="30">
        <v>12.613</v>
      </c>
      <c r="J81" s="30">
        <v>15.976000000000001</v>
      </c>
      <c r="K81" s="195">
        <v>15.976000000000001</v>
      </c>
      <c r="L81" s="30">
        <v>15.696</v>
      </c>
      <c r="M81" s="30">
        <v>15.398999999999999</v>
      </c>
      <c r="N81" s="30">
        <v>21.169</v>
      </c>
      <c r="O81" s="30">
        <v>19.52</v>
      </c>
      <c r="P81" s="195">
        <v>19.52</v>
      </c>
      <c r="Q81" s="30">
        <v>19.791</v>
      </c>
      <c r="R81" s="30">
        <v>21.451000000000001</v>
      </c>
      <c r="S81" s="30">
        <v>20.879000000000001</v>
      </c>
      <c r="T81" s="30">
        <v>20.548999999999999</v>
      </c>
      <c r="U81" s="195">
        <v>20.548999999999999</v>
      </c>
      <c r="V81" s="30">
        <v>88.12</v>
      </c>
      <c r="W81" s="266">
        <v>79.915999999999997</v>
      </c>
    </row>
    <row r="82" spans="1:23" ht="15" customHeight="1">
      <c r="A82" s="192" t="s">
        <v>94</v>
      </c>
      <c r="B82" s="189">
        <v>0</v>
      </c>
      <c r="C82" s="189">
        <v>1.659</v>
      </c>
      <c r="D82" s="189">
        <v>0.496</v>
      </c>
      <c r="E82" s="189">
        <v>0.19800000000000001</v>
      </c>
      <c r="F82" s="189">
        <v>0.108</v>
      </c>
      <c r="G82" s="30">
        <v>0.108</v>
      </c>
      <c r="H82" s="30">
        <v>0.108</v>
      </c>
      <c r="I82" s="30">
        <v>0.108</v>
      </c>
      <c r="J82" s="30">
        <v>8.6999999999999994E-2</v>
      </c>
      <c r="K82" s="195">
        <v>8.6999999999999994E-2</v>
      </c>
      <c r="L82" s="30">
        <v>8.6999999999999994E-2</v>
      </c>
      <c r="M82" s="30">
        <v>8.6999999999999994E-2</v>
      </c>
      <c r="N82" s="30">
        <v>8.6999999999999994E-2</v>
      </c>
      <c r="O82" s="30">
        <v>8.6999999999999994E-2</v>
      </c>
      <c r="P82" s="195">
        <v>8.6999999999999994E-2</v>
      </c>
      <c r="Q82" s="30">
        <v>8.6999999999999994E-2</v>
      </c>
      <c r="R82" s="30">
        <v>8.4000000000000005E-2</v>
      </c>
      <c r="S82" s="30">
        <v>8.4000000000000005E-2</v>
      </c>
      <c r="T82" s="30">
        <v>8.4000000000000005E-2</v>
      </c>
      <c r="U82" s="195">
        <v>8.4000000000000005E-2</v>
      </c>
      <c r="V82" s="30">
        <v>8.5000000000000006E-2</v>
      </c>
      <c r="W82" s="266">
        <v>7.1999999999999995E-2</v>
      </c>
    </row>
    <row r="83" spans="1:23" ht="15" customHeight="1">
      <c r="A83" s="192" t="s">
        <v>95</v>
      </c>
      <c r="B83" s="188"/>
      <c r="C83" s="188"/>
      <c r="D83" s="188"/>
      <c r="E83" s="188"/>
      <c r="F83" s="189">
        <v>0</v>
      </c>
      <c r="G83" s="30">
        <v>1.728</v>
      </c>
      <c r="H83" s="30">
        <v>6.2030000000000003</v>
      </c>
      <c r="I83" s="30">
        <v>7.3120000000000003</v>
      </c>
      <c r="J83" s="30">
        <v>6.8659999999999997</v>
      </c>
      <c r="K83" s="195">
        <v>6.8659999999999997</v>
      </c>
      <c r="L83" s="30">
        <v>6.7370000000000001</v>
      </c>
      <c r="M83" s="30">
        <v>11.303000000000001</v>
      </c>
      <c r="N83" s="30">
        <v>13.353</v>
      </c>
      <c r="O83" s="30">
        <v>15.079000000000001</v>
      </c>
      <c r="P83" s="195">
        <v>15.079000000000001</v>
      </c>
      <c r="Q83" s="30">
        <v>14.585000000000001</v>
      </c>
      <c r="R83" s="30">
        <v>15.452</v>
      </c>
      <c r="S83" s="30">
        <v>17.015999999999998</v>
      </c>
      <c r="T83" s="30">
        <v>18.02</v>
      </c>
      <c r="U83" s="195">
        <v>18.02</v>
      </c>
      <c r="V83" s="30">
        <v>17.472999999999999</v>
      </c>
      <c r="W83" s="266">
        <v>20.22</v>
      </c>
    </row>
    <row r="84" spans="1:23" ht="15" customHeight="1">
      <c r="A84" s="192" t="s">
        <v>96</v>
      </c>
      <c r="B84" s="189">
        <v>2.4830000000000001</v>
      </c>
      <c r="C84" s="189">
        <v>10.27</v>
      </c>
      <c r="D84" s="189">
        <v>2.2839999999999998</v>
      </c>
      <c r="E84" s="189">
        <v>1.784</v>
      </c>
      <c r="F84" s="189">
        <v>5.5339999999999998</v>
      </c>
      <c r="G84" s="30">
        <v>7.1980000000000004</v>
      </c>
      <c r="H84" s="30">
        <v>14.391999999999999</v>
      </c>
      <c r="I84" s="30">
        <v>21.041</v>
      </c>
      <c r="J84" s="30">
        <v>30.541</v>
      </c>
      <c r="K84" s="195">
        <v>30.541</v>
      </c>
      <c r="L84" s="30">
        <v>29.391999999999999</v>
      </c>
      <c r="M84" s="30">
        <v>24.754999999999999</v>
      </c>
      <c r="N84" s="30">
        <v>30.428000000000001</v>
      </c>
      <c r="O84" s="30">
        <v>32.704999999999998</v>
      </c>
      <c r="P84" s="195">
        <v>32.704999999999998</v>
      </c>
      <c r="Q84" s="30">
        <v>23.710999999999999</v>
      </c>
      <c r="R84" s="30">
        <v>27.411999999999999</v>
      </c>
      <c r="S84" s="30">
        <v>27.163</v>
      </c>
      <c r="T84" s="30">
        <v>17.963999999999999</v>
      </c>
      <c r="U84" s="195">
        <v>17.963999999999999</v>
      </c>
      <c r="V84" s="30">
        <v>21.510999999999999</v>
      </c>
      <c r="W84" s="266">
        <v>19.038</v>
      </c>
    </row>
    <row r="85" spans="1:23" ht="15" customHeight="1">
      <c r="A85" s="192" t="s">
        <v>97</v>
      </c>
      <c r="B85" s="189">
        <v>1.8759999999999999</v>
      </c>
      <c r="C85" s="189">
        <v>1.58</v>
      </c>
      <c r="D85" s="189">
        <v>1.173</v>
      </c>
      <c r="E85" s="189">
        <v>0.38600000000000001</v>
      </c>
      <c r="F85" s="188"/>
      <c r="G85" s="30"/>
      <c r="H85" s="30"/>
      <c r="I85" s="30"/>
      <c r="J85" s="30"/>
      <c r="K85" s="196"/>
      <c r="L85" s="30"/>
      <c r="M85" s="30"/>
      <c r="N85" s="30"/>
      <c r="O85" s="30"/>
      <c r="P85" s="196"/>
      <c r="Q85" s="30"/>
      <c r="R85" s="30"/>
      <c r="S85" s="30"/>
      <c r="T85" s="30"/>
      <c r="U85" s="196"/>
      <c r="V85" s="30"/>
    </row>
    <row r="86" spans="1:23" ht="15" customHeight="1">
      <c r="A86" s="188" t="s">
        <v>98</v>
      </c>
      <c r="B86" s="189">
        <v>328.55</v>
      </c>
      <c r="C86" s="189">
        <v>496.31</v>
      </c>
      <c r="D86" s="189">
        <v>531.76900000000001</v>
      </c>
      <c r="E86" s="189">
        <v>628.11400000000003</v>
      </c>
      <c r="F86" s="189">
        <v>806.62</v>
      </c>
      <c r="G86" s="30">
        <v>872.58399999999995</v>
      </c>
      <c r="H86" s="30">
        <v>937.57500000000005</v>
      </c>
      <c r="I86" s="30">
        <v>1020.3390000000001</v>
      </c>
      <c r="J86" s="30">
        <v>1095.521</v>
      </c>
      <c r="K86" s="195">
        <v>1095.521</v>
      </c>
      <c r="L86" s="30">
        <v>1129.0039999999999</v>
      </c>
      <c r="M86" s="30">
        <v>1140.8209999999999</v>
      </c>
      <c r="N86" s="30">
        <v>1183.8389999999999</v>
      </c>
      <c r="O86" s="30">
        <v>1219.665</v>
      </c>
      <c r="P86" s="195">
        <v>1219.665</v>
      </c>
      <c r="Q86" s="30">
        <v>1276.1500000000001</v>
      </c>
      <c r="R86" s="30">
        <v>1313.4</v>
      </c>
      <c r="S86" s="30">
        <v>1432.096</v>
      </c>
      <c r="T86" s="30">
        <v>1542.135</v>
      </c>
      <c r="U86" s="195">
        <v>1542.135</v>
      </c>
      <c r="V86" s="30">
        <v>2567.9160000000002</v>
      </c>
      <c r="W86" s="266">
        <v>2753.5259999999998</v>
      </c>
    </row>
    <row r="87" spans="1:23" ht="15" customHeight="1">
      <c r="A87" s="190" t="s">
        <v>99</v>
      </c>
      <c r="B87" s="189">
        <v>176.369</v>
      </c>
      <c r="C87" s="189">
        <v>196.84100000000001</v>
      </c>
      <c r="D87" s="189">
        <v>188.21899999999999</v>
      </c>
      <c r="E87" s="189">
        <v>242.91900000000001</v>
      </c>
      <c r="F87" s="189">
        <v>397.721</v>
      </c>
      <c r="G87" s="30">
        <v>455.26400000000001</v>
      </c>
      <c r="H87" s="30">
        <v>522.47299999999996</v>
      </c>
      <c r="I87" s="30">
        <v>589.64599999999996</v>
      </c>
      <c r="J87" s="30">
        <v>639.64200000000005</v>
      </c>
      <c r="K87" s="195">
        <v>639.64200000000005</v>
      </c>
      <c r="L87" s="30">
        <v>670.14800000000002</v>
      </c>
      <c r="M87" s="30">
        <v>688.13300000000004</v>
      </c>
      <c r="N87" s="30">
        <v>702.73900000000003</v>
      </c>
      <c r="O87" s="30">
        <v>703.09100000000001</v>
      </c>
      <c r="P87" s="195">
        <v>703.09100000000001</v>
      </c>
      <c r="Q87" s="30">
        <v>754.99099999999999</v>
      </c>
      <c r="R87" s="30">
        <v>788.41700000000003</v>
      </c>
      <c r="S87" s="30">
        <v>879.15499999999997</v>
      </c>
      <c r="T87" s="30">
        <v>968.39499999999998</v>
      </c>
      <c r="U87" s="195">
        <v>968.39499999999998</v>
      </c>
      <c r="V87" s="30">
        <v>1756.848</v>
      </c>
      <c r="W87" s="266">
        <v>1945.6569999999999</v>
      </c>
    </row>
    <row r="88" spans="1:23" ht="15" customHeight="1">
      <c r="A88" s="193" t="s">
        <v>100</v>
      </c>
      <c r="B88" s="189">
        <v>114.54600000000001</v>
      </c>
      <c r="C88" s="189">
        <v>134.541</v>
      </c>
      <c r="D88" s="189">
        <v>128.173</v>
      </c>
      <c r="E88" s="189">
        <v>135.82900000000001</v>
      </c>
      <c r="F88" s="189">
        <v>157.96299999999999</v>
      </c>
      <c r="G88" s="30">
        <v>142.697</v>
      </c>
      <c r="H88" s="30">
        <v>162.67400000000001</v>
      </c>
      <c r="I88" s="30">
        <v>204.13300000000001</v>
      </c>
      <c r="J88" s="30">
        <v>226.13800000000001</v>
      </c>
      <c r="K88" s="195">
        <v>226.13800000000001</v>
      </c>
      <c r="L88" s="30">
        <v>202.892</v>
      </c>
      <c r="M88" s="30">
        <v>225.327</v>
      </c>
      <c r="N88" s="30">
        <v>240.81299999999999</v>
      </c>
      <c r="O88" s="30">
        <v>279.18299999999999</v>
      </c>
      <c r="P88" s="195">
        <v>279.18299999999999</v>
      </c>
      <c r="Q88" s="30">
        <v>262.93200000000002</v>
      </c>
      <c r="R88" s="30">
        <v>290.14699999999999</v>
      </c>
      <c r="S88" s="30">
        <v>346.017</v>
      </c>
      <c r="T88" s="30">
        <v>380.45400000000001</v>
      </c>
      <c r="U88" s="195">
        <v>380.45400000000001</v>
      </c>
      <c r="V88" s="30">
        <v>469.74900000000002</v>
      </c>
      <c r="W88" s="266">
        <v>513.61</v>
      </c>
    </row>
    <row r="89" spans="1:23" ht="15" customHeight="1">
      <c r="A89" s="194" t="s">
        <v>101</v>
      </c>
      <c r="B89" s="189">
        <v>52.402000000000001</v>
      </c>
      <c r="C89" s="189">
        <v>63.51</v>
      </c>
      <c r="D89" s="189">
        <v>70.441999999999993</v>
      </c>
      <c r="E89" s="189">
        <v>64.731999999999999</v>
      </c>
      <c r="F89" s="189">
        <v>86.39</v>
      </c>
      <c r="G89" s="30">
        <v>78.721999999999994</v>
      </c>
      <c r="H89" s="30">
        <v>87.322999999999993</v>
      </c>
      <c r="I89" s="30">
        <v>119.774</v>
      </c>
      <c r="J89" s="30">
        <v>130.46799999999999</v>
      </c>
      <c r="K89" s="195">
        <v>130.46799999999999</v>
      </c>
      <c r="L89" s="30">
        <v>111.752</v>
      </c>
      <c r="M89" s="30">
        <v>121.422</v>
      </c>
      <c r="N89" s="30">
        <v>126.745</v>
      </c>
      <c r="O89" s="30">
        <v>151.40600000000001</v>
      </c>
      <c r="P89" s="195">
        <v>151.40600000000001</v>
      </c>
      <c r="Q89" s="30">
        <v>131.749</v>
      </c>
      <c r="R89" s="30">
        <v>141.52199999999999</v>
      </c>
      <c r="S89" s="30">
        <v>158.61699999999999</v>
      </c>
      <c r="T89" s="30">
        <v>182.572</v>
      </c>
      <c r="U89" s="195">
        <v>182.572</v>
      </c>
      <c r="V89" s="30">
        <v>171.608</v>
      </c>
      <c r="W89" s="266">
        <v>199.21</v>
      </c>
    </row>
    <row r="90" spans="1:23" ht="15" customHeight="1">
      <c r="A90" s="194" t="s">
        <v>102</v>
      </c>
      <c r="B90" s="189">
        <v>32.107999999999997</v>
      </c>
      <c r="C90" s="189">
        <v>38.738</v>
      </c>
      <c r="D90" s="189">
        <v>31.114999999999998</v>
      </c>
      <c r="E90" s="189">
        <v>33.704000000000001</v>
      </c>
      <c r="F90" s="189">
        <v>33.719000000000001</v>
      </c>
      <c r="G90" s="30">
        <v>38.752000000000002</v>
      </c>
      <c r="H90" s="30">
        <v>46.441000000000003</v>
      </c>
      <c r="I90" s="30">
        <v>47.515999999999998</v>
      </c>
      <c r="J90" s="30">
        <v>52.476999999999997</v>
      </c>
      <c r="K90" s="195">
        <v>52.476999999999997</v>
      </c>
      <c r="L90" s="30">
        <v>57.146999999999998</v>
      </c>
      <c r="M90" s="30">
        <v>62.003999999999998</v>
      </c>
      <c r="N90" s="30">
        <v>68.748000000000005</v>
      </c>
      <c r="O90" s="30">
        <v>78.905000000000001</v>
      </c>
      <c r="P90" s="195">
        <v>78.905000000000001</v>
      </c>
      <c r="Q90" s="30">
        <v>88.649000000000001</v>
      </c>
      <c r="R90" s="30">
        <v>103.453</v>
      </c>
      <c r="S90" s="30">
        <v>113.19499999999999</v>
      </c>
      <c r="T90" s="30">
        <v>120.065</v>
      </c>
      <c r="U90" s="195">
        <v>120.065</v>
      </c>
      <c r="V90" s="30">
        <v>136.66</v>
      </c>
      <c r="W90" s="266">
        <v>136.303</v>
      </c>
    </row>
    <row r="91" spans="1:23" ht="15" customHeight="1">
      <c r="A91" s="194" t="s">
        <v>103</v>
      </c>
      <c r="B91" s="188"/>
      <c r="C91" s="188"/>
      <c r="D91" s="189">
        <v>0</v>
      </c>
      <c r="E91" s="189">
        <v>2.0459999999999998</v>
      </c>
      <c r="F91" s="189">
        <v>1.395</v>
      </c>
      <c r="G91" s="30">
        <v>1.909</v>
      </c>
      <c r="H91" s="30">
        <v>2.0779999999999998</v>
      </c>
      <c r="I91" s="30">
        <v>2.0870000000000002</v>
      </c>
      <c r="J91" s="30">
        <v>2.2090000000000001</v>
      </c>
      <c r="K91" s="195">
        <v>2.2090000000000001</v>
      </c>
      <c r="L91" s="30">
        <v>2.3159999999999998</v>
      </c>
      <c r="M91" s="30">
        <v>2.2429999999999999</v>
      </c>
      <c r="N91" s="30">
        <v>2.3849999999999998</v>
      </c>
      <c r="O91" s="30">
        <v>2.3380000000000001</v>
      </c>
      <c r="P91" s="195">
        <v>2.3380000000000001</v>
      </c>
      <c r="Q91" s="30">
        <v>3.4790000000000001</v>
      </c>
      <c r="R91" s="30">
        <v>5.5640000000000001</v>
      </c>
      <c r="S91" s="30">
        <v>7.3239999999999998</v>
      </c>
      <c r="T91" s="30">
        <v>9.0649999999999995</v>
      </c>
      <c r="U91" s="195">
        <v>9.0649999999999995</v>
      </c>
      <c r="V91" s="30">
        <v>10.586</v>
      </c>
      <c r="W91" s="266">
        <v>14.234</v>
      </c>
    </row>
    <row r="92" spans="1:23" ht="15" customHeight="1">
      <c r="A92" s="194" t="s">
        <v>104</v>
      </c>
      <c r="B92" s="189">
        <v>10</v>
      </c>
      <c r="C92" s="189">
        <v>14.773</v>
      </c>
      <c r="D92" s="189">
        <v>7.5380000000000003</v>
      </c>
      <c r="E92" s="189">
        <v>13</v>
      </c>
      <c r="F92" s="189">
        <v>10</v>
      </c>
      <c r="G92" s="30">
        <v>10</v>
      </c>
      <c r="H92" s="30">
        <v>10</v>
      </c>
      <c r="I92" s="30">
        <v>12.5</v>
      </c>
      <c r="J92" s="30">
        <v>12.5</v>
      </c>
      <c r="K92" s="195">
        <v>12.5</v>
      </c>
      <c r="L92" s="30">
        <v>12.5</v>
      </c>
      <c r="M92" s="30">
        <v>13.5</v>
      </c>
      <c r="N92" s="30">
        <v>14</v>
      </c>
      <c r="O92" s="30">
        <v>15</v>
      </c>
      <c r="P92" s="195">
        <v>15</v>
      </c>
      <c r="Q92" s="30">
        <v>15</v>
      </c>
      <c r="R92" s="30">
        <v>15</v>
      </c>
      <c r="S92" s="30">
        <v>23.905999999999999</v>
      </c>
      <c r="T92" s="30">
        <v>26.562999999999999</v>
      </c>
      <c r="U92" s="195">
        <v>26.562999999999999</v>
      </c>
      <c r="V92" s="30">
        <v>37.719000000000001</v>
      </c>
      <c r="W92" s="266">
        <v>40.375</v>
      </c>
    </row>
    <row r="93" spans="1:23" ht="15" customHeight="1">
      <c r="A93" s="194" t="s">
        <v>105</v>
      </c>
      <c r="B93" s="189">
        <v>20.036000000000001</v>
      </c>
      <c r="C93" s="189">
        <v>17.52</v>
      </c>
      <c r="D93" s="189">
        <v>19.077999999999999</v>
      </c>
      <c r="E93" s="189">
        <v>22.347000000000001</v>
      </c>
      <c r="F93" s="189">
        <v>26.459</v>
      </c>
      <c r="G93" s="30">
        <v>13.314</v>
      </c>
      <c r="H93" s="30">
        <v>16.832000000000001</v>
      </c>
      <c r="I93" s="30">
        <v>22.256</v>
      </c>
      <c r="J93" s="30">
        <v>28.484000000000002</v>
      </c>
      <c r="K93" s="195">
        <v>28.484000000000002</v>
      </c>
      <c r="L93" s="30">
        <v>19.177</v>
      </c>
      <c r="M93" s="30">
        <v>26.158000000000001</v>
      </c>
      <c r="N93" s="30">
        <v>28.934999999999999</v>
      </c>
      <c r="O93" s="30">
        <v>31.533999999999999</v>
      </c>
      <c r="P93" s="195">
        <v>31.533999999999999</v>
      </c>
      <c r="Q93" s="30">
        <v>24.055</v>
      </c>
      <c r="R93" s="30">
        <v>24.608000000000001</v>
      </c>
      <c r="S93" s="30">
        <v>42.975000000000001</v>
      </c>
      <c r="T93" s="30">
        <v>42.189</v>
      </c>
      <c r="U93" s="195">
        <v>42.189</v>
      </c>
      <c r="V93" s="30">
        <v>113.176</v>
      </c>
      <c r="W93" s="266">
        <v>123.488</v>
      </c>
    </row>
    <row r="94" spans="1:23" ht="15" customHeight="1">
      <c r="A94" s="193" t="s">
        <v>106</v>
      </c>
      <c r="B94" s="189">
        <v>61.823</v>
      </c>
      <c r="C94" s="189">
        <v>62.3</v>
      </c>
      <c r="D94" s="189">
        <v>60.045999999999999</v>
      </c>
      <c r="E94" s="189">
        <v>107.09</v>
      </c>
      <c r="F94" s="189">
        <v>239.75800000000001</v>
      </c>
      <c r="G94" s="30">
        <v>312.56700000000001</v>
      </c>
      <c r="H94" s="30">
        <v>359.79899999999998</v>
      </c>
      <c r="I94" s="30">
        <v>385.51299999999998</v>
      </c>
      <c r="J94" s="30">
        <v>413.50400000000002</v>
      </c>
      <c r="K94" s="195">
        <v>413.50400000000002</v>
      </c>
      <c r="L94" s="30">
        <v>467.25599999999997</v>
      </c>
      <c r="M94" s="30">
        <v>462.80599999999998</v>
      </c>
      <c r="N94" s="30">
        <v>461.92599999999999</v>
      </c>
      <c r="O94" s="30">
        <v>423.90800000000002</v>
      </c>
      <c r="P94" s="195">
        <v>423.90800000000002</v>
      </c>
      <c r="Q94" s="30">
        <v>492.05900000000003</v>
      </c>
      <c r="R94" s="30">
        <v>498.27</v>
      </c>
      <c r="S94" s="30">
        <v>533.13800000000003</v>
      </c>
      <c r="T94" s="30">
        <v>587.94100000000003</v>
      </c>
      <c r="U94" s="195">
        <v>587.94100000000003</v>
      </c>
      <c r="V94" s="30">
        <v>1287.0989999999999</v>
      </c>
      <c r="W94" s="266">
        <v>1432.047</v>
      </c>
    </row>
    <row r="95" spans="1:23" ht="15" customHeight="1">
      <c r="A95" s="194" t="s">
        <v>107</v>
      </c>
      <c r="B95" s="189">
        <v>47.136000000000003</v>
      </c>
      <c r="C95" s="189">
        <v>48.115000000000002</v>
      </c>
      <c r="D95" s="189">
        <v>42.457999999999998</v>
      </c>
      <c r="E95" s="189">
        <v>79.052999999999997</v>
      </c>
      <c r="F95" s="189">
        <v>206.17500000000001</v>
      </c>
      <c r="G95" s="30">
        <v>273.73200000000003</v>
      </c>
      <c r="H95" s="30">
        <v>317.303</v>
      </c>
      <c r="I95" s="30">
        <v>341.173</v>
      </c>
      <c r="J95" s="30">
        <v>363.06599999999997</v>
      </c>
      <c r="K95" s="195">
        <v>363.06599999999997</v>
      </c>
      <c r="L95" s="30">
        <v>413.01799999999997</v>
      </c>
      <c r="M95" s="30">
        <v>408.96699999999998</v>
      </c>
      <c r="N95" s="30">
        <v>405.416</v>
      </c>
      <c r="O95" s="30">
        <v>360.74</v>
      </c>
      <c r="P95" s="195">
        <v>360.74</v>
      </c>
      <c r="Q95" s="30">
        <v>427.06400000000002</v>
      </c>
      <c r="R95" s="30">
        <v>423.38799999999998</v>
      </c>
      <c r="S95" s="30">
        <v>453.94200000000001</v>
      </c>
      <c r="T95" s="30">
        <v>486.96100000000001</v>
      </c>
      <c r="U95" s="195">
        <v>486.96100000000001</v>
      </c>
      <c r="V95" s="30">
        <v>1183.1320000000001</v>
      </c>
      <c r="W95" s="266">
        <v>1319.325</v>
      </c>
    </row>
    <row r="96" spans="1:23" ht="15" customHeight="1">
      <c r="A96" s="194" t="s">
        <v>108</v>
      </c>
      <c r="B96" s="188"/>
      <c r="C96" s="188"/>
      <c r="D96" s="189">
        <v>0</v>
      </c>
      <c r="E96" s="189">
        <v>5.5540000000000003</v>
      </c>
      <c r="F96" s="189">
        <v>5.3019999999999996</v>
      </c>
      <c r="G96" s="30">
        <v>9.2889999999999997</v>
      </c>
      <c r="H96" s="30">
        <v>9.6310000000000002</v>
      </c>
      <c r="I96" s="30">
        <v>9.3369999999999997</v>
      </c>
      <c r="J96" s="30">
        <v>12.058999999999999</v>
      </c>
      <c r="K96" s="195">
        <v>12.058999999999999</v>
      </c>
      <c r="L96" s="30">
        <v>15.747999999999999</v>
      </c>
      <c r="M96" s="30">
        <v>14.981999999999999</v>
      </c>
      <c r="N96" s="30">
        <v>15.606999999999999</v>
      </c>
      <c r="O96" s="30">
        <v>12.648999999999999</v>
      </c>
      <c r="P96" s="195">
        <v>12.648999999999999</v>
      </c>
      <c r="Q96" s="30">
        <v>15.493</v>
      </c>
      <c r="R96" s="30">
        <v>21.716999999999999</v>
      </c>
      <c r="S96" s="30">
        <v>26.762</v>
      </c>
      <c r="T96" s="30">
        <v>30.661000000000001</v>
      </c>
      <c r="U96" s="195">
        <v>30.661000000000001</v>
      </c>
      <c r="V96" s="30">
        <v>32.65</v>
      </c>
      <c r="W96" s="266">
        <v>42.728000000000002</v>
      </c>
    </row>
    <row r="97" spans="1:34" ht="15" customHeight="1">
      <c r="A97" s="194" t="s">
        <v>97</v>
      </c>
      <c r="B97" s="189">
        <v>9.6669999999999998</v>
      </c>
      <c r="C97" s="189">
        <v>8.89</v>
      </c>
      <c r="D97" s="189">
        <v>11.48</v>
      </c>
      <c r="E97" s="189">
        <v>14.003</v>
      </c>
      <c r="F97" s="189">
        <v>17.361999999999998</v>
      </c>
      <c r="G97" s="30">
        <v>17.57</v>
      </c>
      <c r="H97" s="30">
        <v>19.527000000000001</v>
      </c>
      <c r="I97" s="30">
        <v>20.14</v>
      </c>
      <c r="J97" s="30">
        <v>26.713000000000001</v>
      </c>
      <c r="K97" s="195">
        <v>26.713000000000001</v>
      </c>
      <c r="L97" s="30">
        <v>25.981999999999999</v>
      </c>
      <c r="M97" s="30">
        <v>24.937999999999999</v>
      </c>
      <c r="N97" s="30">
        <v>25.7</v>
      </c>
      <c r="O97" s="30">
        <v>37.121000000000002</v>
      </c>
      <c r="P97" s="195">
        <v>37.121000000000002</v>
      </c>
      <c r="Q97" s="30">
        <v>34.509</v>
      </c>
      <c r="R97" s="30">
        <v>35.438000000000002</v>
      </c>
      <c r="S97" s="30">
        <v>34.895000000000003</v>
      </c>
      <c r="T97" s="30">
        <v>53.851999999999997</v>
      </c>
      <c r="U97" s="195">
        <v>53.851999999999997</v>
      </c>
      <c r="V97" s="30">
        <v>53.335000000000001</v>
      </c>
      <c r="W97" s="266">
        <v>52.406999999999996</v>
      </c>
    </row>
    <row r="98" spans="1:34" ht="15" customHeight="1">
      <c r="A98" s="194" t="s">
        <v>109</v>
      </c>
      <c r="B98" s="189">
        <v>5.0199999999999996</v>
      </c>
      <c r="C98" s="189">
        <v>5.2949999999999999</v>
      </c>
      <c r="D98" s="189">
        <v>6.1079999999999997</v>
      </c>
      <c r="E98" s="189">
        <v>8.48</v>
      </c>
      <c r="F98" s="189">
        <v>10.919</v>
      </c>
      <c r="G98" s="30">
        <v>11.976000000000001</v>
      </c>
      <c r="H98" s="30">
        <v>13.337999999999999</v>
      </c>
      <c r="I98" s="30">
        <v>14.863</v>
      </c>
      <c r="J98" s="30">
        <v>11.666</v>
      </c>
      <c r="K98" s="195">
        <v>11.666</v>
      </c>
      <c r="L98" s="30">
        <v>12.507999999999999</v>
      </c>
      <c r="M98" s="30">
        <v>13.919</v>
      </c>
      <c r="N98" s="30">
        <v>15.202999999999999</v>
      </c>
      <c r="O98" s="30">
        <v>13.398</v>
      </c>
      <c r="P98" s="195">
        <v>13.398</v>
      </c>
      <c r="Q98" s="30">
        <v>14.993</v>
      </c>
      <c r="R98" s="30">
        <v>17.727</v>
      </c>
      <c r="S98" s="30">
        <v>17.539000000000001</v>
      </c>
      <c r="T98" s="30">
        <v>16.466999999999999</v>
      </c>
      <c r="U98" s="195">
        <v>16.466999999999999</v>
      </c>
      <c r="V98" s="30">
        <v>17.981999999999999</v>
      </c>
      <c r="W98" s="266">
        <v>17.587</v>
      </c>
    </row>
    <row r="99" spans="1:34" ht="15" customHeight="1">
      <c r="A99" s="190" t="s">
        <v>110</v>
      </c>
      <c r="B99" s="189">
        <v>152.18100000000001</v>
      </c>
      <c r="C99" s="189">
        <v>299.46899999999999</v>
      </c>
      <c r="D99" s="189">
        <v>343.55</v>
      </c>
      <c r="E99" s="189">
        <v>385.19499999999999</v>
      </c>
      <c r="F99" s="189">
        <v>408.899</v>
      </c>
      <c r="G99" s="30">
        <v>417.32</v>
      </c>
      <c r="H99" s="30">
        <v>415.10199999999998</v>
      </c>
      <c r="I99" s="30">
        <v>430.69299999999998</v>
      </c>
      <c r="J99" s="30">
        <v>455.87900000000002</v>
      </c>
      <c r="K99" s="195">
        <v>455.87900000000002</v>
      </c>
      <c r="L99" s="30">
        <v>458.85599999999999</v>
      </c>
      <c r="M99" s="30">
        <v>452.68799999999999</v>
      </c>
      <c r="N99" s="30">
        <v>481.1</v>
      </c>
      <c r="O99" s="30">
        <v>516.57399999999996</v>
      </c>
      <c r="P99" s="195">
        <v>516.57399999999996</v>
      </c>
      <c r="Q99" s="30">
        <v>521.15899999999999</v>
      </c>
      <c r="R99" s="30">
        <v>524.98299999999995</v>
      </c>
      <c r="S99" s="30">
        <v>552.94100000000003</v>
      </c>
      <c r="T99" s="30">
        <v>573.74</v>
      </c>
      <c r="U99" s="195">
        <v>573.74</v>
      </c>
      <c r="V99" s="30">
        <v>811.06799999999998</v>
      </c>
      <c r="W99" s="266">
        <v>807.86900000000003</v>
      </c>
    </row>
    <row r="100" spans="1:34" ht="15" customHeight="1">
      <c r="A100" s="191" t="s">
        <v>111</v>
      </c>
      <c r="B100" s="189">
        <v>0</v>
      </c>
      <c r="C100" s="189">
        <v>0</v>
      </c>
      <c r="D100" s="189">
        <v>0</v>
      </c>
      <c r="E100" s="189">
        <v>0</v>
      </c>
      <c r="F100" s="189">
        <v>0</v>
      </c>
      <c r="G100" s="30">
        <v>0</v>
      </c>
      <c r="H100" s="30">
        <v>0</v>
      </c>
      <c r="I100" s="30">
        <v>0</v>
      </c>
      <c r="J100" s="30">
        <v>0</v>
      </c>
      <c r="K100" s="195">
        <v>0</v>
      </c>
      <c r="L100" s="30">
        <v>0</v>
      </c>
      <c r="M100" s="30">
        <v>0</v>
      </c>
      <c r="N100" s="30">
        <v>0</v>
      </c>
      <c r="O100" s="30">
        <v>0</v>
      </c>
      <c r="P100" s="195">
        <v>0</v>
      </c>
      <c r="Q100" s="30">
        <v>0</v>
      </c>
      <c r="R100" s="30">
        <v>0</v>
      </c>
      <c r="S100" s="30">
        <v>0</v>
      </c>
      <c r="T100" s="30">
        <v>0</v>
      </c>
      <c r="U100" s="195">
        <v>0</v>
      </c>
      <c r="V100" s="30">
        <v>0</v>
      </c>
      <c r="W100" s="266">
        <v>0</v>
      </c>
    </row>
    <row r="101" spans="1:34" ht="15" customHeight="1">
      <c r="A101" s="191" t="s">
        <v>112</v>
      </c>
      <c r="B101" s="189">
        <v>4.4999999999999998E-2</v>
      </c>
      <c r="C101" s="188"/>
      <c r="D101" s="188"/>
      <c r="E101" s="188"/>
      <c r="F101" s="188"/>
      <c r="G101" s="30"/>
      <c r="H101" s="30"/>
      <c r="I101" s="30"/>
      <c r="J101" s="30"/>
      <c r="K101" s="196"/>
      <c r="L101" s="30"/>
      <c r="M101" s="30"/>
      <c r="N101" s="30"/>
      <c r="O101" s="30"/>
      <c r="P101" s="196"/>
      <c r="Q101" s="30"/>
      <c r="R101" s="30"/>
      <c r="S101" s="30"/>
      <c r="T101" s="30"/>
      <c r="U101" s="196"/>
      <c r="V101" s="30"/>
    </row>
    <row r="102" spans="1:34" ht="15" customHeight="1">
      <c r="A102" s="191" t="s">
        <v>113</v>
      </c>
      <c r="B102" s="189">
        <v>0</v>
      </c>
      <c r="C102" s="189">
        <v>1.2E-2</v>
      </c>
      <c r="D102" s="189">
        <v>3.3000000000000002E-2</v>
      </c>
      <c r="E102" s="189">
        <v>3.4000000000000002E-2</v>
      </c>
      <c r="F102" s="189">
        <v>3.6999999999999998E-2</v>
      </c>
      <c r="G102" s="30">
        <v>4.1000000000000002E-2</v>
      </c>
      <c r="H102" s="30">
        <v>4.1000000000000002E-2</v>
      </c>
      <c r="I102" s="30">
        <v>4.1000000000000002E-2</v>
      </c>
      <c r="J102" s="30">
        <v>4.1000000000000002E-2</v>
      </c>
      <c r="K102" s="195">
        <v>4.1000000000000002E-2</v>
      </c>
      <c r="L102" s="30">
        <v>4.1000000000000002E-2</v>
      </c>
      <c r="M102" s="30">
        <v>4.1000000000000002E-2</v>
      </c>
      <c r="N102" s="30">
        <v>4.3999999999999997E-2</v>
      </c>
      <c r="O102" s="30">
        <v>4.3999999999999997E-2</v>
      </c>
      <c r="P102" s="195">
        <v>4.3999999999999997E-2</v>
      </c>
      <c r="Q102" s="30">
        <v>4.3999999999999997E-2</v>
      </c>
      <c r="R102" s="30">
        <v>4.3999999999999997E-2</v>
      </c>
      <c r="S102" s="30">
        <v>4.3999999999999997E-2</v>
      </c>
      <c r="T102" s="30">
        <v>4.3999999999999997E-2</v>
      </c>
      <c r="U102" s="195">
        <v>4.3999999999999997E-2</v>
      </c>
      <c r="V102" s="30">
        <v>4.7E-2</v>
      </c>
      <c r="W102" s="266">
        <v>4.7E-2</v>
      </c>
    </row>
    <row r="103" spans="1:34" ht="15" customHeight="1">
      <c r="A103" s="191" t="s">
        <v>114</v>
      </c>
      <c r="B103" s="189">
        <v>0</v>
      </c>
      <c r="C103" s="189">
        <v>4.2000000000000003E-2</v>
      </c>
      <c r="D103" s="189">
        <v>2.1999999999999999E-2</v>
      </c>
      <c r="E103" s="189">
        <v>2.1000000000000001E-2</v>
      </c>
      <c r="F103" s="189">
        <v>1.9E-2</v>
      </c>
      <c r="G103" s="30">
        <v>1.4999999999999999E-2</v>
      </c>
      <c r="H103" s="30">
        <v>1.4999999999999999E-2</v>
      </c>
      <c r="I103" s="30">
        <v>1.4999999999999999E-2</v>
      </c>
      <c r="J103" s="30">
        <v>1.4999999999999999E-2</v>
      </c>
      <c r="K103" s="195">
        <v>1.4999999999999999E-2</v>
      </c>
      <c r="L103" s="30">
        <v>1.4999999999999999E-2</v>
      </c>
      <c r="M103" s="30">
        <v>1.4999999999999999E-2</v>
      </c>
      <c r="N103" s="30">
        <v>1.2E-2</v>
      </c>
      <c r="O103" s="30">
        <v>1.2E-2</v>
      </c>
      <c r="P103" s="195">
        <v>1.2E-2</v>
      </c>
      <c r="Q103" s="30">
        <v>1.2E-2</v>
      </c>
      <c r="R103" s="30">
        <v>1.2E-2</v>
      </c>
      <c r="S103" s="30">
        <v>1.2E-2</v>
      </c>
      <c r="T103" s="30">
        <v>1.2E-2</v>
      </c>
      <c r="U103" s="195">
        <v>1.2E-2</v>
      </c>
      <c r="V103" s="30">
        <v>1.2E-2</v>
      </c>
      <c r="W103" s="266">
        <v>1.2E-2</v>
      </c>
    </row>
    <row r="104" spans="1:34" ht="15" customHeight="1">
      <c r="A104" s="191" t="s">
        <v>115</v>
      </c>
      <c r="B104" s="189">
        <v>142.38499999999999</v>
      </c>
      <c r="C104" s="189">
        <v>242.49299999999999</v>
      </c>
      <c r="D104" s="189">
        <v>243.452</v>
      </c>
      <c r="E104" s="189">
        <v>245.02199999999999</v>
      </c>
      <c r="F104" s="189">
        <v>248.571</v>
      </c>
      <c r="G104" s="30">
        <v>250.07499999999999</v>
      </c>
      <c r="H104" s="30">
        <v>251.81700000000001</v>
      </c>
      <c r="I104" s="30">
        <v>253.66499999999999</v>
      </c>
      <c r="J104" s="30">
        <v>256.57100000000003</v>
      </c>
      <c r="K104" s="195">
        <v>256.57100000000003</v>
      </c>
      <c r="L104" s="30">
        <v>259.05099999999999</v>
      </c>
      <c r="M104" s="30">
        <v>261.74299999999999</v>
      </c>
      <c r="N104" s="30">
        <v>264.48</v>
      </c>
      <c r="O104" s="30">
        <v>267.33</v>
      </c>
      <c r="P104" s="195">
        <v>267.33</v>
      </c>
      <c r="Q104" s="30">
        <v>270.113</v>
      </c>
      <c r="R104" s="30">
        <v>272.66899999999998</v>
      </c>
      <c r="S104" s="30">
        <v>275.56200000000001</v>
      </c>
      <c r="T104" s="30">
        <v>278.065</v>
      </c>
      <c r="U104" s="195">
        <v>278.065</v>
      </c>
      <c r="V104" s="30">
        <v>527.98599999999999</v>
      </c>
      <c r="W104" s="266">
        <v>531.279</v>
      </c>
    </row>
    <row r="105" spans="1:34" ht="15" customHeight="1">
      <c r="A105" s="191" t="s">
        <v>116</v>
      </c>
      <c r="B105" s="188"/>
      <c r="C105" s="188"/>
      <c r="D105" s="188"/>
      <c r="E105" s="188"/>
      <c r="F105" s="189">
        <v>0</v>
      </c>
      <c r="G105" s="30">
        <v>-3.9E-2</v>
      </c>
      <c r="H105" s="30">
        <v>-3.9E-2</v>
      </c>
      <c r="I105" s="30">
        <v>-3.9E-2</v>
      </c>
      <c r="J105" s="30">
        <v>-3.9E-2</v>
      </c>
      <c r="K105" s="195">
        <v>-3.9E-2</v>
      </c>
      <c r="L105" s="30">
        <v>-0.17799999999999999</v>
      </c>
      <c r="M105" s="30">
        <v>-0.17799999999999999</v>
      </c>
      <c r="N105" s="30">
        <v>-0.17799999999999999</v>
      </c>
      <c r="O105" s="30">
        <v>-0.17799999999999999</v>
      </c>
      <c r="P105" s="195">
        <v>-0.17799999999999999</v>
      </c>
      <c r="Q105" s="30">
        <v>-1.514</v>
      </c>
      <c r="R105" s="30">
        <v>-1.514</v>
      </c>
      <c r="S105" s="30">
        <v>-6.7830000000000004</v>
      </c>
      <c r="T105" s="30">
        <v>-11.49</v>
      </c>
      <c r="U105" s="195">
        <v>-11.49</v>
      </c>
      <c r="V105" s="30">
        <v>-23.128</v>
      </c>
      <c r="W105" s="266">
        <v>-31.175999999999998</v>
      </c>
    </row>
    <row r="106" spans="1:34" ht="15" customHeight="1">
      <c r="A106" s="191" t="s">
        <v>116</v>
      </c>
      <c r="B106" s="189">
        <v>-11.983000000000001</v>
      </c>
      <c r="C106" s="189">
        <v>-15.603</v>
      </c>
      <c r="D106" s="189">
        <v>-15.603</v>
      </c>
      <c r="E106" s="189">
        <v>-15.603</v>
      </c>
      <c r="F106" s="189">
        <v>-15.603</v>
      </c>
      <c r="G106" s="30">
        <v>-15.603</v>
      </c>
      <c r="H106" s="30">
        <v>-15.603</v>
      </c>
      <c r="I106" s="30">
        <v>-15.603</v>
      </c>
      <c r="J106" s="30">
        <v>-15.603</v>
      </c>
      <c r="K106" s="195">
        <v>-15.603</v>
      </c>
      <c r="L106" s="30">
        <v>-15.603</v>
      </c>
      <c r="M106" s="30">
        <v>-15.603</v>
      </c>
      <c r="N106" s="30">
        <v>-15.603</v>
      </c>
      <c r="O106" s="30">
        <v>-15.603</v>
      </c>
      <c r="P106" s="195">
        <v>-15.603</v>
      </c>
      <c r="Q106" s="30">
        <v>-15.603</v>
      </c>
      <c r="R106" s="30">
        <v>-15.603</v>
      </c>
      <c r="S106" s="30">
        <v>-15.603</v>
      </c>
      <c r="T106" s="30">
        <v>-15.603</v>
      </c>
      <c r="U106" s="195">
        <v>-15.603</v>
      </c>
      <c r="V106" s="30">
        <v>-16.045999999999999</v>
      </c>
      <c r="W106" s="266">
        <v>-16.045999999999999</v>
      </c>
    </row>
    <row r="107" spans="1:34" ht="15" customHeight="1">
      <c r="A107" s="191" t="s">
        <v>117</v>
      </c>
      <c r="B107" s="188"/>
      <c r="C107" s="188"/>
      <c r="D107" s="188"/>
      <c r="E107" s="189">
        <v>0</v>
      </c>
      <c r="F107" s="189">
        <v>-2.3E-2</v>
      </c>
      <c r="G107" s="30">
        <v>1.4219999999999999</v>
      </c>
      <c r="H107" s="30">
        <v>6.88</v>
      </c>
      <c r="I107" s="30">
        <v>8.4550000000000001</v>
      </c>
      <c r="J107" s="30">
        <v>17.62</v>
      </c>
      <c r="K107" s="195">
        <v>17.62</v>
      </c>
      <c r="L107" s="30">
        <v>16.364000000000001</v>
      </c>
      <c r="M107" s="30">
        <v>12.984999999999999</v>
      </c>
      <c r="N107" s="30">
        <v>16.983000000000001</v>
      </c>
      <c r="O107" s="30">
        <v>18.693999999999999</v>
      </c>
      <c r="P107" s="195">
        <v>18.693999999999999</v>
      </c>
      <c r="Q107" s="30">
        <v>11.989000000000001</v>
      </c>
      <c r="R107" s="30">
        <v>14.381</v>
      </c>
      <c r="S107" s="30">
        <v>13.807</v>
      </c>
      <c r="T107" s="30">
        <v>7.5019999999999998</v>
      </c>
      <c r="U107" s="195">
        <v>7.5019999999999998</v>
      </c>
      <c r="V107" s="30">
        <v>10.038</v>
      </c>
      <c r="W107" s="266">
        <v>7.3789999999999996</v>
      </c>
    </row>
    <row r="108" spans="1:34" ht="15" customHeight="1">
      <c r="A108" s="191" t="s">
        <v>118</v>
      </c>
      <c r="B108" s="189">
        <v>21.734000000000002</v>
      </c>
      <c r="C108" s="189">
        <v>72.525000000000006</v>
      </c>
      <c r="D108" s="189">
        <v>115.646</v>
      </c>
      <c r="E108" s="189">
        <v>155.721</v>
      </c>
      <c r="F108" s="189">
        <v>175.898</v>
      </c>
      <c r="G108" s="30">
        <v>181.40899999999999</v>
      </c>
      <c r="H108" s="30">
        <v>171.99100000000001</v>
      </c>
      <c r="I108" s="30">
        <v>184.15899999999999</v>
      </c>
      <c r="J108" s="30">
        <v>197.274</v>
      </c>
      <c r="K108" s="195">
        <v>197.274</v>
      </c>
      <c r="L108" s="30">
        <v>199.166</v>
      </c>
      <c r="M108" s="30">
        <v>193.685</v>
      </c>
      <c r="N108" s="30">
        <v>215.36199999999999</v>
      </c>
      <c r="O108" s="30">
        <v>246.27500000000001</v>
      </c>
      <c r="P108" s="195">
        <v>246.27500000000001</v>
      </c>
      <c r="Q108" s="30">
        <v>256.11799999999999</v>
      </c>
      <c r="R108" s="30">
        <v>254.994</v>
      </c>
      <c r="S108" s="30">
        <v>285.90199999999999</v>
      </c>
      <c r="T108" s="30">
        <v>315.20999999999998</v>
      </c>
      <c r="U108" s="195">
        <v>315.20999999999998</v>
      </c>
      <c r="V108" s="30">
        <v>312.15899999999999</v>
      </c>
      <c r="W108" s="266">
        <v>316.37400000000002</v>
      </c>
    </row>
    <row r="110" spans="1:34" s="197" customFormat="1" ht="15" customHeight="1">
      <c r="A110" s="199" t="s">
        <v>126</v>
      </c>
      <c r="X110" s="198"/>
      <c r="Y110" s="198"/>
      <c r="Z110" s="198"/>
      <c r="AA110" s="198"/>
      <c r="AB110" s="198"/>
      <c r="AC110" s="198"/>
      <c r="AD110" s="198"/>
      <c r="AE110" s="198"/>
      <c r="AF110" s="198"/>
      <c r="AG110" s="198"/>
      <c r="AH110" s="198"/>
    </row>
    <row r="111" spans="1:34" ht="15" customHeight="1">
      <c r="A111" t="s">
        <v>119</v>
      </c>
      <c r="B111" s="16">
        <f t="shared" ref="B111:U111" si="59">B92</f>
        <v>10</v>
      </c>
      <c r="C111" s="16">
        <f t="shared" si="59"/>
        <v>14.773</v>
      </c>
      <c r="D111" s="16">
        <f t="shared" si="59"/>
        <v>7.5380000000000003</v>
      </c>
      <c r="E111" s="16">
        <f t="shared" si="59"/>
        <v>13</v>
      </c>
      <c r="F111" s="16">
        <f t="shared" si="59"/>
        <v>10</v>
      </c>
      <c r="G111" s="30">
        <f t="shared" si="59"/>
        <v>10</v>
      </c>
      <c r="H111" s="30">
        <f t="shared" si="59"/>
        <v>10</v>
      </c>
      <c r="I111" s="30">
        <f t="shared" si="59"/>
        <v>12.5</v>
      </c>
      <c r="J111" s="30">
        <f t="shared" si="59"/>
        <v>12.5</v>
      </c>
      <c r="K111" s="16">
        <f t="shared" si="59"/>
        <v>12.5</v>
      </c>
      <c r="L111" s="30">
        <f t="shared" si="59"/>
        <v>12.5</v>
      </c>
      <c r="M111" s="30">
        <f t="shared" si="59"/>
        <v>13.5</v>
      </c>
      <c r="N111" s="30">
        <f t="shared" si="59"/>
        <v>14</v>
      </c>
      <c r="O111" s="30">
        <f t="shared" si="59"/>
        <v>15</v>
      </c>
      <c r="P111" s="16">
        <f t="shared" si="59"/>
        <v>15</v>
      </c>
      <c r="Q111" s="30">
        <f t="shared" si="59"/>
        <v>15</v>
      </c>
      <c r="R111" s="30">
        <f t="shared" si="59"/>
        <v>15</v>
      </c>
      <c r="S111" s="30">
        <f t="shared" si="59"/>
        <v>23.905999999999999</v>
      </c>
      <c r="T111" s="30">
        <f t="shared" si="59"/>
        <v>26.562999999999999</v>
      </c>
      <c r="U111" s="16">
        <f t="shared" si="59"/>
        <v>26.562999999999999</v>
      </c>
      <c r="V111" s="30">
        <f>V92</f>
        <v>37.719000000000001</v>
      </c>
      <c r="W111" s="30">
        <f>W92</f>
        <v>40.375</v>
      </c>
      <c r="Z111" s="51">
        <v>40</v>
      </c>
      <c r="AA111" s="47">
        <v>40</v>
      </c>
    </row>
    <row r="112" spans="1:34" ht="15" customHeight="1">
      <c r="A112" t="s">
        <v>120</v>
      </c>
      <c r="B112" s="16">
        <f t="shared" ref="B112:U112" si="60">B95</f>
        <v>47.136000000000003</v>
      </c>
      <c r="C112" s="16">
        <f t="shared" si="60"/>
        <v>48.115000000000002</v>
      </c>
      <c r="D112" s="16">
        <f t="shared" si="60"/>
        <v>42.457999999999998</v>
      </c>
      <c r="E112" s="16">
        <f t="shared" si="60"/>
        <v>79.052999999999997</v>
      </c>
      <c r="F112" s="16">
        <f t="shared" si="60"/>
        <v>206.17500000000001</v>
      </c>
      <c r="G112" s="30">
        <f t="shared" si="60"/>
        <v>273.73200000000003</v>
      </c>
      <c r="H112" s="30">
        <f t="shared" si="60"/>
        <v>317.303</v>
      </c>
      <c r="I112" s="30">
        <f t="shared" si="60"/>
        <v>341.173</v>
      </c>
      <c r="J112" s="30">
        <f t="shared" si="60"/>
        <v>363.06599999999997</v>
      </c>
      <c r="K112" s="16">
        <f t="shared" si="60"/>
        <v>363.06599999999997</v>
      </c>
      <c r="L112" s="30">
        <f t="shared" si="60"/>
        <v>413.01799999999997</v>
      </c>
      <c r="M112" s="30">
        <f t="shared" si="60"/>
        <v>408.96699999999998</v>
      </c>
      <c r="N112" s="30">
        <f t="shared" si="60"/>
        <v>405.416</v>
      </c>
      <c r="O112" s="30">
        <f t="shared" si="60"/>
        <v>360.74</v>
      </c>
      <c r="P112" s="16">
        <f t="shared" si="60"/>
        <v>360.74</v>
      </c>
      <c r="Q112" s="30">
        <f t="shared" si="60"/>
        <v>427.06400000000002</v>
      </c>
      <c r="R112" s="30">
        <f t="shared" si="60"/>
        <v>423.38799999999998</v>
      </c>
      <c r="S112" s="30">
        <f t="shared" si="60"/>
        <v>453.94200000000001</v>
      </c>
      <c r="T112" s="30">
        <f t="shared" si="60"/>
        <v>486.96100000000001</v>
      </c>
      <c r="U112" s="16">
        <f t="shared" si="60"/>
        <v>486.96100000000001</v>
      </c>
      <c r="V112" s="30">
        <f>V95</f>
        <v>1183.1320000000001</v>
      </c>
      <c r="W112" s="30">
        <f>W95</f>
        <v>1319.325</v>
      </c>
      <c r="X112" s="85">
        <f>W112+50</f>
        <v>1369.325</v>
      </c>
      <c r="Y112" s="85">
        <f>X112-80</f>
        <v>1289.325</v>
      </c>
      <c r="Z112" s="95">
        <f>Y112</f>
        <v>1289.325</v>
      </c>
      <c r="AA112" s="95">
        <f>Z112-100</f>
        <v>1189.325</v>
      </c>
    </row>
    <row r="113" spans="1:34" ht="15" customHeight="1">
      <c r="A113" t="s">
        <v>121</v>
      </c>
      <c r="B113" s="16">
        <f t="shared" ref="B113:U113" si="61">B112+B111</f>
        <v>57.136000000000003</v>
      </c>
      <c r="C113" s="16">
        <f t="shared" si="61"/>
        <v>62.888000000000005</v>
      </c>
      <c r="D113" s="16">
        <f t="shared" si="61"/>
        <v>49.995999999999995</v>
      </c>
      <c r="E113" s="16">
        <f t="shared" si="61"/>
        <v>92.052999999999997</v>
      </c>
      <c r="F113" s="16">
        <f t="shared" si="61"/>
        <v>216.17500000000001</v>
      </c>
      <c r="G113" s="30">
        <f t="shared" si="61"/>
        <v>283.73200000000003</v>
      </c>
      <c r="H113" s="30">
        <f t="shared" si="61"/>
        <v>327.303</v>
      </c>
      <c r="I113" s="30">
        <f t="shared" si="61"/>
        <v>353.673</v>
      </c>
      <c r="J113" s="30">
        <f t="shared" si="61"/>
        <v>375.56599999999997</v>
      </c>
      <c r="K113" s="16">
        <f t="shared" si="61"/>
        <v>375.56599999999997</v>
      </c>
      <c r="L113" s="30">
        <f t="shared" si="61"/>
        <v>425.51799999999997</v>
      </c>
      <c r="M113" s="30">
        <f t="shared" si="61"/>
        <v>422.46699999999998</v>
      </c>
      <c r="N113" s="30">
        <f t="shared" si="61"/>
        <v>419.416</v>
      </c>
      <c r="O113" s="30">
        <f t="shared" si="61"/>
        <v>375.74</v>
      </c>
      <c r="P113" s="16">
        <f t="shared" si="61"/>
        <v>375.74</v>
      </c>
      <c r="Q113" s="30">
        <f t="shared" si="61"/>
        <v>442.06400000000002</v>
      </c>
      <c r="R113" s="30">
        <f t="shared" si="61"/>
        <v>438.38799999999998</v>
      </c>
      <c r="S113" s="30">
        <f t="shared" si="61"/>
        <v>477.84800000000001</v>
      </c>
      <c r="T113" s="30">
        <f t="shared" si="61"/>
        <v>513.524</v>
      </c>
      <c r="U113" s="16">
        <f t="shared" si="61"/>
        <v>513.524</v>
      </c>
      <c r="V113" s="62">
        <f>V112+V111</f>
        <v>1220.8510000000001</v>
      </c>
      <c r="W113" s="267">
        <f>W111+W112</f>
        <v>1359.7</v>
      </c>
      <c r="Z113" s="95">
        <f>Z111+Z112</f>
        <v>1329.325</v>
      </c>
    </row>
    <row r="114" spans="1:34" ht="15" customHeight="1">
      <c r="A114" t="s">
        <v>122</v>
      </c>
      <c r="B114" s="16">
        <f t="shared" ref="B114:U114" si="62">B72+B73</f>
        <v>27.547000000000001</v>
      </c>
      <c r="C114" s="16">
        <f t="shared" si="62"/>
        <v>99.137</v>
      </c>
      <c r="D114" s="16">
        <f t="shared" si="62"/>
        <v>80.619</v>
      </c>
      <c r="E114" s="16">
        <f t="shared" si="62"/>
        <v>148.316</v>
      </c>
      <c r="F114" s="16">
        <f t="shared" si="62"/>
        <v>57.250999999999998</v>
      </c>
      <c r="G114" s="30">
        <f t="shared" si="62"/>
        <v>42.132999999999996</v>
      </c>
      <c r="H114" s="30">
        <f t="shared" si="62"/>
        <v>31.329000000000001</v>
      </c>
      <c r="I114" s="30">
        <f t="shared" si="62"/>
        <v>26.184000000000001</v>
      </c>
      <c r="J114" s="30">
        <f t="shared" si="62"/>
        <v>35.558999999999997</v>
      </c>
      <c r="K114" s="16">
        <f t="shared" si="62"/>
        <v>35.558999999999997</v>
      </c>
      <c r="L114" s="30">
        <f t="shared" si="62"/>
        <v>43.509</v>
      </c>
      <c r="M114" s="30">
        <f t="shared" si="62"/>
        <v>30.631</v>
      </c>
      <c r="N114" s="30">
        <f t="shared" si="62"/>
        <v>54.948999999999998</v>
      </c>
      <c r="O114" s="30">
        <f t="shared" si="62"/>
        <v>49.080000000000005</v>
      </c>
      <c r="P114" s="16">
        <f t="shared" si="62"/>
        <v>49.080000000000005</v>
      </c>
      <c r="Q114" s="30">
        <f t="shared" si="62"/>
        <v>69.710999999999999</v>
      </c>
      <c r="R114" s="30">
        <f t="shared" si="62"/>
        <v>50.436</v>
      </c>
      <c r="S114" s="30">
        <f t="shared" si="62"/>
        <v>58.442999999999998</v>
      </c>
      <c r="T114" s="30">
        <f t="shared" si="62"/>
        <v>76.684000000000012</v>
      </c>
      <c r="U114" s="16">
        <f t="shared" si="62"/>
        <v>76.684000000000012</v>
      </c>
      <c r="V114" s="30">
        <f>V72+V73</f>
        <v>133.06799999999998</v>
      </c>
      <c r="W114" s="30">
        <f>W72+W73</f>
        <v>103.584</v>
      </c>
      <c r="Z114" s="95">
        <f ca="1">Y72</f>
        <v>101.76210953005595</v>
      </c>
      <c r="AA114" s="47">
        <f ca="1">AA3*0.035</f>
        <v>112.21497226800004</v>
      </c>
    </row>
    <row r="115" spans="1:34" ht="15" customHeight="1">
      <c r="A115" t="s">
        <v>123</v>
      </c>
      <c r="B115" s="16">
        <f t="shared" ref="B115:U115" si="63">B113-B114</f>
        <v>29.589000000000002</v>
      </c>
      <c r="C115" s="16">
        <f t="shared" si="63"/>
        <v>-36.248999999999995</v>
      </c>
      <c r="D115" s="16">
        <f t="shared" si="63"/>
        <v>-30.623000000000005</v>
      </c>
      <c r="E115" s="16">
        <f t="shared" si="63"/>
        <v>-56.263000000000005</v>
      </c>
      <c r="F115" s="16">
        <f t="shared" si="63"/>
        <v>158.92400000000001</v>
      </c>
      <c r="G115" s="30">
        <f t="shared" si="63"/>
        <v>241.59900000000005</v>
      </c>
      <c r="H115" s="30">
        <f t="shared" si="63"/>
        <v>295.97399999999999</v>
      </c>
      <c r="I115" s="30">
        <f t="shared" si="63"/>
        <v>327.48899999999998</v>
      </c>
      <c r="J115" s="30">
        <f t="shared" si="63"/>
        <v>340.00699999999995</v>
      </c>
      <c r="K115" s="16">
        <f t="shared" si="63"/>
        <v>340.00699999999995</v>
      </c>
      <c r="L115" s="30">
        <f t="shared" si="63"/>
        <v>382.00899999999996</v>
      </c>
      <c r="M115" s="30">
        <f t="shared" si="63"/>
        <v>391.83600000000001</v>
      </c>
      <c r="N115" s="30">
        <f t="shared" si="63"/>
        <v>364.46699999999998</v>
      </c>
      <c r="O115" s="30">
        <f t="shared" si="63"/>
        <v>326.66000000000003</v>
      </c>
      <c r="P115" s="16">
        <f t="shared" si="63"/>
        <v>326.66000000000003</v>
      </c>
      <c r="Q115" s="30">
        <f t="shared" si="63"/>
        <v>372.35300000000001</v>
      </c>
      <c r="R115" s="30">
        <f t="shared" si="63"/>
        <v>387.952</v>
      </c>
      <c r="S115" s="30">
        <f t="shared" si="63"/>
        <v>419.40500000000003</v>
      </c>
      <c r="T115" s="30">
        <f t="shared" si="63"/>
        <v>436.84</v>
      </c>
      <c r="U115" s="16">
        <f t="shared" si="63"/>
        <v>436.84</v>
      </c>
      <c r="V115" s="62">
        <f>V113-V114</f>
        <v>1087.7830000000001</v>
      </c>
      <c r="W115" s="62">
        <f>W113-W114</f>
        <v>1256.116</v>
      </c>
      <c r="Z115" s="95">
        <f ca="1">Z113-Z114</f>
        <v>1227.562890469944</v>
      </c>
      <c r="AA115" s="51">
        <f ca="1">Z115*(1+AA116)</f>
        <v>1227.562890469944</v>
      </c>
    </row>
    <row r="116" spans="1:34" ht="15" customHeight="1">
      <c r="A116" t="s">
        <v>29</v>
      </c>
      <c r="B116" s="16"/>
      <c r="C116" s="16"/>
      <c r="D116" s="89">
        <f>D115/C115-1</f>
        <v>-0.15520428149742038</v>
      </c>
      <c r="E116" s="89">
        <f t="shared" ref="E116:F116" si="64">E115/D115-1</f>
        <v>0.83727916925186929</v>
      </c>
      <c r="F116" s="89">
        <f t="shared" si="64"/>
        <v>-3.8246627446101344</v>
      </c>
      <c r="G116" s="30"/>
      <c r="H116" s="30"/>
      <c r="I116" s="30"/>
      <c r="J116" s="30"/>
      <c r="K116" s="89">
        <f>K115/F115-1</f>
        <v>1.1394314263421506</v>
      </c>
      <c r="L116" s="57">
        <f>L115/G115-1</f>
        <v>0.58116962404645656</v>
      </c>
      <c r="M116" s="57">
        <f t="shared" ref="M116:O116" si="65">M115/H115-1</f>
        <v>0.32388655760303275</v>
      </c>
      <c r="N116" s="57">
        <f t="shared" si="65"/>
        <v>0.1129137161858873</v>
      </c>
      <c r="O116" s="57">
        <f t="shared" si="65"/>
        <v>-3.9255074160237657E-2</v>
      </c>
      <c r="P116" s="89">
        <f>P115/K115-1</f>
        <v>-3.9255074160237657E-2</v>
      </c>
      <c r="Q116" s="57">
        <f>Q115/L115-1</f>
        <v>-2.5276891382140065E-2</v>
      </c>
      <c r="R116" s="57">
        <f t="shared" ref="R116:T116" si="66">R115/M115-1</f>
        <v>-9.9123102522484796E-3</v>
      </c>
      <c r="S116" s="57">
        <f t="shared" si="66"/>
        <v>0.15073518315787182</v>
      </c>
      <c r="T116" s="57">
        <f t="shared" si="66"/>
        <v>0.33729259780811827</v>
      </c>
      <c r="U116" s="89">
        <f>U115/P115-1</f>
        <v>0.33729259780811827</v>
      </c>
      <c r="V116" s="57">
        <f>V115/Q115-1</f>
        <v>1.9213756838269065</v>
      </c>
      <c r="W116" s="57">
        <f>W115/R115-1</f>
        <v>2.2378129253103478</v>
      </c>
      <c r="Z116" s="204">
        <v>0</v>
      </c>
      <c r="AA116" s="206"/>
      <c r="AB116" s="205"/>
      <c r="AC116" s="205"/>
    </row>
    <row r="118" spans="1:34" ht="15" customHeight="1">
      <c r="A118" t="s">
        <v>124</v>
      </c>
      <c r="C118" s="2">
        <f>C40</f>
        <v>87.62299999999999</v>
      </c>
      <c r="D118" s="16">
        <f t="shared" ref="D118:AC118" si="67">D40</f>
        <v>89.74199999999999</v>
      </c>
      <c r="E118" s="16">
        <f t="shared" si="67"/>
        <v>96.438000000000002</v>
      </c>
      <c r="F118" s="16">
        <f t="shared" si="67"/>
        <v>84.275000000000006</v>
      </c>
      <c r="G118" s="30">
        <f t="shared" si="67"/>
        <v>25.982000000000003</v>
      </c>
      <c r="H118" s="30">
        <f t="shared" si="67"/>
        <v>7.4399999999999977</v>
      </c>
      <c r="I118" s="30">
        <f t="shared" si="67"/>
        <v>37.268999999999991</v>
      </c>
      <c r="J118" s="30">
        <f t="shared" si="67"/>
        <v>39.052000000000007</v>
      </c>
      <c r="K118" s="16">
        <f t="shared" si="67"/>
        <v>109.74299999999999</v>
      </c>
      <c r="L118" s="30">
        <f t="shared" si="67"/>
        <v>27.216999999999999</v>
      </c>
      <c r="M118" s="30">
        <f t="shared" si="67"/>
        <v>20.397000000000002</v>
      </c>
      <c r="N118" s="30">
        <f t="shared" si="67"/>
        <v>56.106000000000009</v>
      </c>
      <c r="O118" s="30">
        <f t="shared" si="67"/>
        <v>68.888999999999996</v>
      </c>
      <c r="P118" s="16">
        <f t="shared" si="67"/>
        <v>172.60899999999998</v>
      </c>
      <c r="Q118" s="30">
        <f t="shared" si="67"/>
        <v>40.873999999999995</v>
      </c>
      <c r="R118" s="30">
        <f t="shared" si="67"/>
        <v>29.516000000000002</v>
      </c>
      <c r="S118" s="30">
        <f t="shared" si="67"/>
        <v>73.234999999999999</v>
      </c>
      <c r="T118" s="30">
        <f t="shared" si="67"/>
        <v>75.547999999999988</v>
      </c>
      <c r="U118" s="16">
        <f t="shared" si="67"/>
        <v>220.57600000000002</v>
      </c>
      <c r="V118" s="30">
        <f t="shared" si="67"/>
        <v>68.796000000000035</v>
      </c>
      <c r="W118" s="30">
        <f t="shared" si="67"/>
        <v>69.283999999999949</v>
      </c>
      <c r="X118" s="50">
        <f t="shared" ca="1" si="67"/>
        <v>140.08046470799997</v>
      </c>
      <c r="Y118" s="50">
        <f t="shared" ca="1" si="67"/>
        <v>145.57232959999999</v>
      </c>
      <c r="Z118" s="51">
        <f t="shared" ca="1" si="67"/>
        <v>423.73279430799994</v>
      </c>
      <c r="AA118" s="51">
        <f t="shared" ca="1" si="67"/>
        <v>502.95125664920016</v>
      </c>
      <c r="AB118" s="51">
        <f t="shared" ca="1" si="67"/>
        <v>609.18533127924798</v>
      </c>
      <c r="AC118" s="51">
        <f t="shared" ca="1" si="67"/>
        <v>731.83667438205771</v>
      </c>
    </row>
    <row r="119" spans="1:34" ht="15" customHeight="1" thickBot="1">
      <c r="A119" t="s">
        <v>127</v>
      </c>
      <c r="C119" s="2"/>
      <c r="D119" s="16"/>
      <c r="E119" s="16"/>
      <c r="F119" s="16"/>
      <c r="G119" s="30"/>
      <c r="H119" s="30"/>
      <c r="I119" s="30"/>
      <c r="J119" s="30">
        <f>SUM(G118:J118)</f>
        <v>109.74299999999999</v>
      </c>
      <c r="K119" s="16">
        <f>K118</f>
        <v>109.74299999999999</v>
      </c>
      <c r="L119" s="30">
        <f>L118+SUM(H118:J118)</f>
        <v>110.97799999999999</v>
      </c>
      <c r="M119" s="30">
        <f>M118+L118+J118+I118</f>
        <v>123.935</v>
      </c>
      <c r="N119" s="30">
        <f>N118+M118+L118+J118</f>
        <v>142.77200000000002</v>
      </c>
      <c r="O119" s="30">
        <f>SUM(L118:O118)</f>
        <v>172.60900000000001</v>
      </c>
      <c r="P119" s="16">
        <f>P118</f>
        <v>172.60899999999998</v>
      </c>
      <c r="Q119" s="30">
        <f>Q118+SUM(M118:O118)</f>
        <v>186.26599999999999</v>
      </c>
      <c r="R119" s="30">
        <f>R118+Q118+O118+N118</f>
        <v>195.38499999999999</v>
      </c>
      <c r="S119" s="30">
        <f>S118+R118+Q118+O118</f>
        <v>212.51400000000001</v>
      </c>
      <c r="T119" s="30">
        <f>SUM(Q118:T118)</f>
        <v>219.173</v>
      </c>
      <c r="U119" s="16">
        <f>U118</f>
        <v>220.57600000000002</v>
      </c>
      <c r="V119" s="30">
        <f>V118+SUM(R118:T118)</f>
        <v>247.09500000000003</v>
      </c>
      <c r="W119" s="259">
        <f>W118+V118+S118+T118</f>
        <v>286.863</v>
      </c>
      <c r="X119" s="50">
        <f ca="1">X118+W118+V118+T118</f>
        <v>353.70846470799995</v>
      </c>
      <c r="Y119" s="50">
        <f ca="1">SUM(V118:Y118)</f>
        <v>423.73279430799994</v>
      </c>
      <c r="Z119" s="51">
        <f ca="1">Z118</f>
        <v>423.73279430799994</v>
      </c>
    </row>
    <row r="120" spans="1:34" s="23" customFormat="1" ht="15" customHeight="1" thickBot="1">
      <c r="A120" s="101" t="s">
        <v>125</v>
      </c>
      <c r="F120" s="102">
        <f>F115/F118</f>
        <v>1.8857787006822901</v>
      </c>
      <c r="G120" s="33"/>
      <c r="H120" s="33"/>
      <c r="I120" s="33"/>
      <c r="J120" s="103">
        <f>K120</f>
        <v>3.0982112754344238</v>
      </c>
      <c r="K120" s="102">
        <f t="shared" ref="K120:T120" si="68">K115/K119</f>
        <v>3.0982112754344238</v>
      </c>
      <c r="L120" s="103">
        <f t="shared" si="68"/>
        <v>3.4422047613040418</v>
      </c>
      <c r="M120" s="103">
        <f t="shared" si="68"/>
        <v>3.1616250453866948</v>
      </c>
      <c r="N120" s="103">
        <f t="shared" si="68"/>
        <v>2.5527904631160165</v>
      </c>
      <c r="O120" s="103">
        <f t="shared" si="68"/>
        <v>1.8924853281115122</v>
      </c>
      <c r="P120" s="102">
        <f t="shared" si="68"/>
        <v>1.8924853281115126</v>
      </c>
      <c r="Q120" s="103">
        <f t="shared" si="68"/>
        <v>1.9990390087294516</v>
      </c>
      <c r="R120" s="103">
        <f t="shared" si="68"/>
        <v>1.9855771937456816</v>
      </c>
      <c r="S120" s="103">
        <f t="shared" si="68"/>
        <v>1.9735405667391326</v>
      </c>
      <c r="T120" s="103">
        <f t="shared" si="68"/>
        <v>1.9931287156720945</v>
      </c>
      <c r="U120" s="102">
        <f>U115/U119</f>
        <v>1.9804511823589146</v>
      </c>
      <c r="V120" s="103">
        <f>V115/V119</f>
        <v>4.4022865699427349</v>
      </c>
      <c r="W120" s="268">
        <f>W115/W119</f>
        <v>4.3788010304570477</v>
      </c>
      <c r="X120" s="59"/>
      <c r="Y120" s="59"/>
      <c r="Z120" s="104">
        <f ca="1">Z115/Z118</f>
        <v>2.8970212052496027</v>
      </c>
      <c r="AA120" s="104">
        <f ca="1">AA115/AA118</f>
        <v>2.440719402210676</v>
      </c>
      <c r="AB120" s="60"/>
      <c r="AC120" s="60"/>
      <c r="AD120" s="60"/>
      <c r="AE120" s="60"/>
      <c r="AF120" s="60"/>
      <c r="AG120" s="60"/>
      <c r="AH120" s="60"/>
    </row>
    <row r="122" spans="1:34" s="197" customFormat="1" ht="15" customHeight="1">
      <c r="A122" s="199" t="s">
        <v>128</v>
      </c>
      <c r="X122" s="198"/>
      <c r="Y122" s="198"/>
      <c r="Z122" s="198"/>
      <c r="AA122" s="198"/>
      <c r="AB122" s="198"/>
      <c r="AC122" s="198"/>
      <c r="AD122" s="198"/>
      <c r="AE122" s="198"/>
      <c r="AF122" s="198"/>
      <c r="AG122" s="198"/>
      <c r="AH122" s="198"/>
    </row>
    <row r="123" spans="1:34" ht="15" customHeight="1">
      <c r="A123" t="s">
        <v>129</v>
      </c>
      <c r="B123" s="2">
        <f>B70</f>
        <v>328.55</v>
      </c>
      <c r="C123" s="16">
        <f t="shared" ref="C123:V123" si="69">C70</f>
        <v>496.31</v>
      </c>
      <c r="D123" s="16">
        <f t="shared" si="69"/>
        <v>531.76900000000001</v>
      </c>
      <c r="E123" s="16">
        <f t="shared" si="69"/>
        <v>628.11400000000003</v>
      </c>
      <c r="F123" s="16">
        <f t="shared" si="69"/>
        <v>806.62</v>
      </c>
      <c r="G123" s="30">
        <f t="shared" si="69"/>
        <v>872.58399999999995</v>
      </c>
      <c r="H123" s="30">
        <f t="shared" si="69"/>
        <v>937.57500000000005</v>
      </c>
      <c r="I123" s="30">
        <f t="shared" si="69"/>
        <v>1020.3390000000001</v>
      </c>
      <c r="J123" s="30">
        <f t="shared" si="69"/>
        <v>1095.521</v>
      </c>
      <c r="K123" s="16">
        <f t="shared" si="69"/>
        <v>1095.521</v>
      </c>
      <c r="L123" s="30">
        <f t="shared" si="69"/>
        <v>1129.0039999999999</v>
      </c>
      <c r="M123" s="30">
        <f t="shared" si="69"/>
        <v>1140.8209999999999</v>
      </c>
      <c r="N123" s="30">
        <f t="shared" si="69"/>
        <v>1183.8389999999999</v>
      </c>
      <c r="O123" s="30">
        <f t="shared" si="69"/>
        <v>1219.665</v>
      </c>
      <c r="P123" s="16">
        <f t="shared" si="69"/>
        <v>1219.665</v>
      </c>
      <c r="Q123" s="30">
        <f t="shared" si="69"/>
        <v>1276.1500000000001</v>
      </c>
      <c r="R123" s="30">
        <f t="shared" si="69"/>
        <v>1313.4</v>
      </c>
      <c r="S123" s="30">
        <f t="shared" si="69"/>
        <v>1432.096</v>
      </c>
      <c r="T123" s="30">
        <f t="shared" si="69"/>
        <v>1542.135</v>
      </c>
      <c r="U123" s="16">
        <f t="shared" si="69"/>
        <v>1542.135</v>
      </c>
      <c r="V123" s="30">
        <f t="shared" si="69"/>
        <v>2567.9160000000002</v>
      </c>
      <c r="W123" s="30">
        <f t="shared" ref="W123" si="70">W70</f>
        <v>2753.5259999999998</v>
      </c>
    </row>
    <row r="124" spans="1:34" ht="15" customHeight="1">
      <c r="A124" t="s">
        <v>130</v>
      </c>
      <c r="B124" s="200">
        <f>B89+B90+B93</f>
        <v>104.54599999999999</v>
      </c>
      <c r="C124" s="16">
        <f t="shared" ref="C124:V124" si="71">C89+C90+C93</f>
        <v>119.76799999999999</v>
      </c>
      <c r="D124" s="16">
        <f t="shared" si="71"/>
        <v>120.63499999999999</v>
      </c>
      <c r="E124" s="16">
        <f t="shared" si="71"/>
        <v>120.78300000000002</v>
      </c>
      <c r="F124" s="16">
        <f t="shared" si="71"/>
        <v>146.56800000000001</v>
      </c>
      <c r="G124" s="30">
        <f t="shared" si="71"/>
        <v>130.78799999999998</v>
      </c>
      <c r="H124" s="30">
        <f t="shared" si="71"/>
        <v>150.596</v>
      </c>
      <c r="I124" s="30">
        <f t="shared" si="71"/>
        <v>189.54599999999999</v>
      </c>
      <c r="J124" s="30">
        <f t="shared" si="71"/>
        <v>211.429</v>
      </c>
      <c r="K124" s="16">
        <f t="shared" si="71"/>
        <v>211.429</v>
      </c>
      <c r="L124" s="30">
        <f t="shared" si="71"/>
        <v>188.07599999999999</v>
      </c>
      <c r="M124" s="30">
        <f t="shared" si="71"/>
        <v>209.584</v>
      </c>
      <c r="N124" s="30">
        <f t="shared" si="71"/>
        <v>224.428</v>
      </c>
      <c r="O124" s="30">
        <f t="shared" si="71"/>
        <v>261.84500000000003</v>
      </c>
      <c r="P124" s="16">
        <f t="shared" si="71"/>
        <v>261.84500000000003</v>
      </c>
      <c r="Q124" s="30">
        <f t="shared" si="71"/>
        <v>244.453</v>
      </c>
      <c r="R124" s="30">
        <f t="shared" si="71"/>
        <v>269.58299999999997</v>
      </c>
      <c r="S124" s="30">
        <f t="shared" si="71"/>
        <v>314.78700000000003</v>
      </c>
      <c r="T124" s="30">
        <f t="shared" si="71"/>
        <v>344.82600000000002</v>
      </c>
      <c r="U124" s="16">
        <f t="shared" si="71"/>
        <v>344.82600000000002</v>
      </c>
      <c r="V124" s="30">
        <f t="shared" si="71"/>
        <v>421.44400000000002</v>
      </c>
      <c r="W124" s="30">
        <f t="shared" ref="W124" si="72">W89+W90+W93</f>
        <v>459.00100000000003</v>
      </c>
    </row>
    <row r="125" spans="1:34" ht="15" customHeight="1">
      <c r="A125" t="s">
        <v>131</v>
      </c>
      <c r="B125" s="200">
        <f>B123-B124</f>
        <v>224.00400000000002</v>
      </c>
      <c r="C125" s="16">
        <f t="shared" ref="C125:V125" si="73">C123-C124</f>
        <v>376.54200000000003</v>
      </c>
      <c r="D125" s="16">
        <f t="shared" si="73"/>
        <v>411.13400000000001</v>
      </c>
      <c r="E125" s="16">
        <f t="shared" si="73"/>
        <v>507.33100000000002</v>
      </c>
      <c r="F125" s="16">
        <f t="shared" si="73"/>
        <v>660.05200000000002</v>
      </c>
      <c r="G125" s="30">
        <f t="shared" si="73"/>
        <v>741.79599999999994</v>
      </c>
      <c r="H125" s="30">
        <f t="shared" si="73"/>
        <v>786.97900000000004</v>
      </c>
      <c r="I125" s="30">
        <f t="shared" si="73"/>
        <v>830.79300000000012</v>
      </c>
      <c r="J125" s="30">
        <f t="shared" si="73"/>
        <v>884.09199999999998</v>
      </c>
      <c r="K125" s="16">
        <f t="shared" si="73"/>
        <v>884.09199999999998</v>
      </c>
      <c r="L125" s="30">
        <f t="shared" si="73"/>
        <v>940.92799999999988</v>
      </c>
      <c r="M125" s="30">
        <f t="shared" si="73"/>
        <v>931.23699999999985</v>
      </c>
      <c r="N125" s="30">
        <f t="shared" si="73"/>
        <v>959.41099999999994</v>
      </c>
      <c r="O125" s="30">
        <f t="shared" si="73"/>
        <v>957.81999999999994</v>
      </c>
      <c r="P125" s="16">
        <f t="shared" si="73"/>
        <v>957.81999999999994</v>
      </c>
      <c r="Q125" s="30">
        <f t="shared" si="73"/>
        <v>1031.6970000000001</v>
      </c>
      <c r="R125" s="30">
        <f t="shared" si="73"/>
        <v>1043.817</v>
      </c>
      <c r="S125" s="30">
        <f t="shared" si="73"/>
        <v>1117.309</v>
      </c>
      <c r="T125" s="30">
        <f t="shared" si="73"/>
        <v>1197.309</v>
      </c>
      <c r="U125" s="16">
        <f t="shared" si="73"/>
        <v>1197.309</v>
      </c>
      <c r="V125" s="30">
        <f t="shared" si="73"/>
        <v>2146.4720000000002</v>
      </c>
      <c r="W125" s="30">
        <f t="shared" ref="W125" si="74">W123-W124</f>
        <v>2294.5249999999996</v>
      </c>
    </row>
    <row r="126" spans="1:34" ht="15" customHeight="1">
      <c r="A126" t="s">
        <v>132</v>
      </c>
      <c r="B126" s="1">
        <f>B80</f>
        <v>30.6</v>
      </c>
      <c r="C126" s="16">
        <f t="shared" ref="C126:V126" si="75">C80</f>
        <v>32.918999999999997</v>
      </c>
      <c r="D126" s="16">
        <f t="shared" si="75"/>
        <v>38.545999999999999</v>
      </c>
      <c r="E126" s="16">
        <f t="shared" si="75"/>
        <v>46.347999999999999</v>
      </c>
      <c r="F126" s="16">
        <f t="shared" si="75"/>
        <v>85.421999999999997</v>
      </c>
      <c r="G126" s="30">
        <f t="shared" si="75"/>
        <v>120.986</v>
      </c>
      <c r="H126" s="30">
        <f t="shared" si="75"/>
        <v>132.78899999999999</v>
      </c>
      <c r="I126" s="30">
        <f t="shared" si="75"/>
        <v>124.98699999999999</v>
      </c>
      <c r="J126" s="30">
        <f t="shared" si="75"/>
        <v>129.465</v>
      </c>
      <c r="K126" s="16">
        <f t="shared" si="75"/>
        <v>129.465</v>
      </c>
      <c r="L126" s="30">
        <f t="shared" si="75"/>
        <v>159.94900000000001</v>
      </c>
      <c r="M126" s="30">
        <f t="shared" si="75"/>
        <v>163.38499999999999</v>
      </c>
      <c r="N126" s="30">
        <f t="shared" si="75"/>
        <v>157.28899999999999</v>
      </c>
      <c r="O126" s="30">
        <f t="shared" si="75"/>
        <v>159.27000000000001</v>
      </c>
      <c r="P126" s="16">
        <f t="shared" si="75"/>
        <v>159.27000000000001</v>
      </c>
      <c r="Q126" s="30">
        <f t="shared" si="75"/>
        <v>176.53</v>
      </c>
      <c r="R126" s="30">
        <f t="shared" si="75"/>
        <v>181.46700000000001</v>
      </c>
      <c r="S126" s="30">
        <f t="shared" si="75"/>
        <v>200.333</v>
      </c>
      <c r="T126" s="30">
        <f t="shared" si="75"/>
        <v>231.65600000000001</v>
      </c>
      <c r="U126" s="16">
        <f t="shared" si="75"/>
        <v>231.65600000000001</v>
      </c>
      <c r="V126" s="30">
        <f t="shared" si="75"/>
        <v>644.20600000000002</v>
      </c>
      <c r="W126" s="30">
        <f t="shared" ref="W126" si="76">W80</f>
        <v>745.04</v>
      </c>
    </row>
    <row r="127" spans="1:34" ht="15" customHeight="1">
      <c r="A127" t="s">
        <v>133</v>
      </c>
      <c r="B127" s="1">
        <f>B81</f>
        <v>2.5499999999999998</v>
      </c>
      <c r="C127" s="16">
        <f t="shared" ref="C127:V127" si="77">C81</f>
        <v>3.7349999999999999</v>
      </c>
      <c r="D127" s="16">
        <f t="shared" si="77"/>
        <v>3.4340000000000002</v>
      </c>
      <c r="E127" s="16">
        <f t="shared" si="77"/>
        <v>3.2240000000000002</v>
      </c>
      <c r="F127" s="16">
        <f t="shared" si="77"/>
        <v>4.1630000000000003</v>
      </c>
      <c r="G127" s="30">
        <f t="shared" si="77"/>
        <v>4.0750000000000002</v>
      </c>
      <c r="H127" s="30">
        <f t="shared" si="77"/>
        <v>3.9860000000000002</v>
      </c>
      <c r="I127" s="30">
        <f t="shared" si="77"/>
        <v>12.613</v>
      </c>
      <c r="J127" s="30">
        <f t="shared" si="77"/>
        <v>15.976000000000001</v>
      </c>
      <c r="K127" s="16">
        <f t="shared" si="77"/>
        <v>15.976000000000001</v>
      </c>
      <c r="L127" s="30">
        <f t="shared" si="77"/>
        <v>15.696</v>
      </c>
      <c r="M127" s="30">
        <f t="shared" si="77"/>
        <v>15.398999999999999</v>
      </c>
      <c r="N127" s="30">
        <f t="shared" si="77"/>
        <v>21.169</v>
      </c>
      <c r="O127" s="30">
        <f t="shared" si="77"/>
        <v>19.52</v>
      </c>
      <c r="P127" s="16">
        <f t="shared" si="77"/>
        <v>19.52</v>
      </c>
      <c r="Q127" s="30">
        <f t="shared" si="77"/>
        <v>19.791</v>
      </c>
      <c r="R127" s="30">
        <f t="shared" si="77"/>
        <v>21.451000000000001</v>
      </c>
      <c r="S127" s="30">
        <f t="shared" si="77"/>
        <v>20.879000000000001</v>
      </c>
      <c r="T127" s="30">
        <f t="shared" si="77"/>
        <v>20.548999999999999</v>
      </c>
      <c r="U127" s="16">
        <f t="shared" si="77"/>
        <v>20.548999999999999</v>
      </c>
      <c r="V127" s="30">
        <f t="shared" si="77"/>
        <v>88.12</v>
      </c>
      <c r="W127" s="30">
        <f t="shared" ref="W127" si="78">W81</f>
        <v>79.915999999999997</v>
      </c>
    </row>
    <row r="128" spans="1:34" ht="15" customHeight="1">
      <c r="A128" t="s">
        <v>134</v>
      </c>
      <c r="B128" s="200">
        <f>B125-B126-B127</f>
        <v>190.85400000000001</v>
      </c>
      <c r="C128" s="16">
        <f t="shared" ref="C128:V128" si="79">C125-C126-C127</f>
        <v>339.88800000000003</v>
      </c>
      <c r="D128" s="16">
        <f t="shared" si="79"/>
        <v>369.154</v>
      </c>
      <c r="E128" s="16">
        <f t="shared" si="79"/>
        <v>457.75900000000001</v>
      </c>
      <c r="F128" s="16">
        <f t="shared" si="79"/>
        <v>570.46699999999998</v>
      </c>
      <c r="G128" s="30">
        <f t="shared" si="79"/>
        <v>616.7349999999999</v>
      </c>
      <c r="H128" s="30">
        <f t="shared" si="79"/>
        <v>650.20400000000006</v>
      </c>
      <c r="I128" s="30">
        <f t="shared" si="79"/>
        <v>693.19300000000021</v>
      </c>
      <c r="J128" s="30">
        <f t="shared" si="79"/>
        <v>738.65099999999995</v>
      </c>
      <c r="K128" s="16">
        <f t="shared" si="79"/>
        <v>738.65099999999995</v>
      </c>
      <c r="L128" s="30">
        <f t="shared" si="79"/>
        <v>765.28299999999979</v>
      </c>
      <c r="M128" s="30">
        <f t="shared" si="79"/>
        <v>752.45299999999986</v>
      </c>
      <c r="N128" s="30">
        <f t="shared" si="79"/>
        <v>780.95299999999997</v>
      </c>
      <c r="O128" s="30">
        <f t="shared" si="79"/>
        <v>779.03</v>
      </c>
      <c r="P128" s="16">
        <f t="shared" si="79"/>
        <v>779.03</v>
      </c>
      <c r="Q128" s="30">
        <f t="shared" si="79"/>
        <v>835.37600000000009</v>
      </c>
      <c r="R128" s="30">
        <f t="shared" si="79"/>
        <v>840.899</v>
      </c>
      <c r="S128" s="30">
        <f t="shared" si="79"/>
        <v>896.09699999999998</v>
      </c>
      <c r="T128" s="30">
        <f t="shared" si="79"/>
        <v>945.10400000000004</v>
      </c>
      <c r="U128" s="16">
        <f t="shared" si="79"/>
        <v>945.10400000000004</v>
      </c>
      <c r="V128" s="30">
        <f t="shared" si="79"/>
        <v>1414.1460000000002</v>
      </c>
      <c r="W128" s="30">
        <f t="shared" ref="W128" si="80">W125-W126-W127</f>
        <v>1469.5689999999997</v>
      </c>
      <c r="Z128" s="51">
        <f>V128*(1+20%)</f>
        <v>1696.9752000000001</v>
      </c>
      <c r="AA128" s="51">
        <f>Z128*(1+20%)</f>
        <v>2036.37024</v>
      </c>
      <c r="AB128" s="51">
        <f t="shared" ref="AB128:AC128" si="81">AA128*(1+20%)</f>
        <v>2443.644288</v>
      </c>
      <c r="AC128" s="51">
        <f t="shared" si="81"/>
        <v>2932.3731456</v>
      </c>
    </row>
    <row r="129" spans="1:34" ht="15" customHeight="1">
      <c r="B129" s="200"/>
      <c r="C129" s="16"/>
      <c r="D129" s="89">
        <f>D128/C128-1</f>
        <v>8.6104834533728747E-2</v>
      </c>
      <c r="E129" s="89">
        <f t="shared" ref="E129" si="82">E128/D128-1</f>
        <v>0.24002177952832704</v>
      </c>
      <c r="F129" s="89">
        <f t="shared" ref="F129" si="83">F128/E128-1</f>
        <v>0.24621689579014272</v>
      </c>
      <c r="G129" s="30"/>
      <c r="H129" s="30"/>
      <c r="I129" s="30"/>
      <c r="J129" s="30"/>
      <c r="K129" s="89">
        <f>K128/F128-1</f>
        <v>0.29481810516646889</v>
      </c>
      <c r="L129" s="57">
        <f>L128/G128-1</f>
        <v>0.24086195853972914</v>
      </c>
      <c r="M129" s="57">
        <f t="shared" ref="M129" si="84">M128/H128-1</f>
        <v>0.15725679940449422</v>
      </c>
      <c r="N129" s="57">
        <f t="shared" ref="N129" si="85">N128/I128-1</f>
        <v>0.1266025479195545</v>
      </c>
      <c r="O129" s="57">
        <f t="shared" ref="O129" si="86">O128/J128-1</f>
        <v>5.4665870620902224E-2</v>
      </c>
      <c r="P129" s="89">
        <f>P128/K128-1</f>
        <v>5.4665870620902224E-2</v>
      </c>
      <c r="Q129" s="57">
        <f>Q128/L128-1</f>
        <v>9.1590953934688635E-2</v>
      </c>
      <c r="R129" s="57">
        <f t="shared" ref="R129" si="87">R128/M128-1</f>
        <v>0.11754355421534646</v>
      </c>
      <c r="S129" s="57">
        <f t="shared" ref="S129" si="88">S128/N128-1</f>
        <v>0.14744037093141338</v>
      </c>
      <c r="T129" s="57">
        <f t="shared" ref="T129" si="89">T128/O128-1</f>
        <v>0.21318049369087211</v>
      </c>
      <c r="U129" s="89">
        <f>U128/P128-1</f>
        <v>0.21318049369087211</v>
      </c>
      <c r="V129" s="57">
        <f>V128/Q128-1</f>
        <v>0.69282574553255061</v>
      </c>
      <c r="W129" s="57">
        <f>W128/R128-1</f>
        <v>0.74761653896603475</v>
      </c>
      <c r="Z129" s="204">
        <v>0.2</v>
      </c>
      <c r="AA129" s="204">
        <v>0.2</v>
      </c>
      <c r="AB129" s="204">
        <v>0.2</v>
      </c>
      <c r="AC129" s="204">
        <v>0.2</v>
      </c>
    </row>
    <row r="131" spans="1:34" ht="15" customHeight="1">
      <c r="A131" t="s">
        <v>135</v>
      </c>
      <c r="C131" s="200">
        <f>C40-C36</f>
        <v>62.301999999999992</v>
      </c>
      <c r="D131" s="16">
        <f t="shared" ref="D131:V131" si="90">D40-D36</f>
        <v>58.510999999999989</v>
      </c>
      <c r="E131" s="16">
        <f t="shared" si="90"/>
        <v>57.137</v>
      </c>
      <c r="F131" s="16">
        <f t="shared" si="90"/>
        <v>34.469000000000008</v>
      </c>
      <c r="G131" s="30">
        <f t="shared" si="90"/>
        <v>10.079000000000002</v>
      </c>
      <c r="H131" s="30">
        <f t="shared" si="90"/>
        <v>-9.7040000000000006</v>
      </c>
      <c r="I131" s="30">
        <f t="shared" si="90"/>
        <v>20.024999999999991</v>
      </c>
      <c r="J131" s="30">
        <f t="shared" si="90"/>
        <v>23.613</v>
      </c>
      <c r="K131" s="16">
        <f t="shared" si="90"/>
        <v>44.012999999999991</v>
      </c>
      <c r="L131" s="30">
        <f t="shared" si="90"/>
        <v>8.8419999999999987</v>
      </c>
      <c r="M131" s="30">
        <f t="shared" si="90"/>
        <v>0.53900000000000148</v>
      </c>
      <c r="N131" s="30">
        <f t="shared" si="90"/>
        <v>36.570000000000007</v>
      </c>
      <c r="O131" s="30">
        <f t="shared" si="90"/>
        <v>47.558000000000007</v>
      </c>
      <c r="P131" s="16">
        <f t="shared" si="90"/>
        <v>93.508999999999986</v>
      </c>
      <c r="Q131" s="30">
        <f t="shared" si="90"/>
        <v>19.752999999999997</v>
      </c>
      <c r="R131" s="30">
        <f t="shared" si="90"/>
        <v>6.6760000000000019</v>
      </c>
      <c r="S131" s="30">
        <f t="shared" si="90"/>
        <v>49.727999999999994</v>
      </c>
      <c r="T131" s="30">
        <f t="shared" si="90"/>
        <v>50.095999999999989</v>
      </c>
      <c r="U131" s="16">
        <f t="shared" si="90"/>
        <v>127.65600000000002</v>
      </c>
      <c r="V131" s="30">
        <f t="shared" si="90"/>
        <v>37.612000000000037</v>
      </c>
      <c r="W131" s="30">
        <f t="shared" ref="W131" si="91">W40-W36</f>
        <v>32.020999999999951</v>
      </c>
      <c r="X131" s="50">
        <f t="shared" ref="X131:AC131" ca="1" si="92">X40-X36</f>
        <v>102.03813952799996</v>
      </c>
      <c r="Y131" s="50">
        <f t="shared" ca="1" si="92"/>
        <v>105.10247199999998</v>
      </c>
      <c r="Z131" s="51">
        <f t="shared" ca="1" si="92"/>
        <v>276.77361152799995</v>
      </c>
      <c r="AA131" s="51">
        <f t="shared" ca="1" si="92"/>
        <v>336.23186927960012</v>
      </c>
      <c r="AB131" s="51">
        <f t="shared" ca="1" si="92"/>
        <v>415.04701697147834</v>
      </c>
      <c r="AC131" s="51">
        <f t="shared" ca="1" si="92"/>
        <v>505.77339283256595</v>
      </c>
    </row>
    <row r="132" spans="1:34" ht="15" customHeight="1">
      <c r="A132" t="s">
        <v>136</v>
      </c>
      <c r="C132" s="89">
        <f>C55</f>
        <v>0.17525017899661988</v>
      </c>
      <c r="D132" s="89">
        <f t="shared" ref="D132:V132" si="93">D55</f>
        <v>0.2497441330149211</v>
      </c>
      <c r="E132" s="89">
        <f t="shared" si="93"/>
        <v>0.24326076181034811</v>
      </c>
      <c r="F132" s="89">
        <f t="shared" si="93"/>
        <v>0.29278299901809512</v>
      </c>
      <c r="G132" s="57">
        <f t="shared" si="93"/>
        <v>0.24620434961017645</v>
      </c>
      <c r="H132" s="57">
        <f t="shared" si="93"/>
        <v>0.23462007314099961</v>
      </c>
      <c r="I132" s="57">
        <f t="shared" si="93"/>
        <v>0.24530174285182657</v>
      </c>
      <c r="J132" s="57">
        <f t="shared" si="93"/>
        <v>0.2355234825117849</v>
      </c>
      <c r="K132" s="89">
        <f t="shared" si="93"/>
        <v>0.24424272393331448</v>
      </c>
      <c r="L132" s="57">
        <f t="shared" si="93"/>
        <v>0.21232306411323895</v>
      </c>
      <c r="M132" s="57">
        <f t="shared" si="93"/>
        <v>0.21193386053199137</v>
      </c>
      <c r="N132" s="57">
        <f t="shared" si="93"/>
        <v>0.2471695492116413</v>
      </c>
      <c r="O132" s="57">
        <f t="shared" si="93"/>
        <v>0.24901003328231666</v>
      </c>
      <c r="P132" s="89">
        <f t="shared" si="93"/>
        <v>0.25079505840621369</v>
      </c>
      <c r="Q132" s="57">
        <f t="shared" si="93"/>
        <v>0.24056785741840905</v>
      </c>
      <c r="R132" s="57">
        <f t="shared" si="93"/>
        <v>0.22214532871972317</v>
      </c>
      <c r="S132" s="57">
        <f t="shared" si="93"/>
        <v>0.24644041349717186</v>
      </c>
      <c r="T132" s="57">
        <f t="shared" si="93"/>
        <v>0.25920590390982384</v>
      </c>
      <c r="U132" s="89">
        <f t="shared" si="93"/>
        <v>0.25147938631255495</v>
      </c>
      <c r="V132" s="57">
        <f t="shared" si="93"/>
        <v>0.24689255916907843</v>
      </c>
      <c r="W132" s="57">
        <f t="shared" ref="W132" si="94">W55</f>
        <v>0.22226080916825958</v>
      </c>
      <c r="X132" s="84">
        <f t="shared" ref="X132:AC132" si="95">X55</f>
        <v>0.25</v>
      </c>
      <c r="Y132" s="84">
        <f t="shared" si="95"/>
        <v>0.25600000000000001</v>
      </c>
      <c r="Z132" s="83">
        <f t="shared" ca="1" si="95"/>
        <v>0.25140438222372524</v>
      </c>
      <c r="AA132" s="83">
        <f t="shared" si="95"/>
        <v>0.2515</v>
      </c>
      <c r="AB132" s="83">
        <f t="shared" si="95"/>
        <v>0.2515</v>
      </c>
      <c r="AC132" s="83">
        <f t="shared" si="95"/>
        <v>0.2515</v>
      </c>
    </row>
    <row r="133" spans="1:34" ht="15" customHeight="1">
      <c r="A133" t="s">
        <v>137</v>
      </c>
      <c r="C133" s="16">
        <f>C131*C132</f>
        <v>10.91843665184741</v>
      </c>
      <c r="D133" s="16">
        <f t="shared" ref="D133:V133" si="96">D131*D132</f>
        <v>14.612778966836046</v>
      </c>
      <c r="E133" s="16">
        <f t="shared" si="96"/>
        <v>13.89919014755786</v>
      </c>
      <c r="F133" s="16">
        <f t="shared" si="96"/>
        <v>10.091937193154724</v>
      </c>
      <c r="G133" s="30">
        <f t="shared" si="96"/>
        <v>2.481493639720969</v>
      </c>
      <c r="H133" s="30">
        <f t="shared" si="96"/>
        <v>-2.2767531897602602</v>
      </c>
      <c r="I133" s="30">
        <f t="shared" si="96"/>
        <v>4.9121674006078253</v>
      </c>
      <c r="J133" s="30">
        <f t="shared" si="96"/>
        <v>5.5614159925507769</v>
      </c>
      <c r="K133" s="16">
        <f t="shared" si="96"/>
        <v>10.749855008476969</v>
      </c>
      <c r="L133" s="30">
        <f t="shared" si="96"/>
        <v>1.8773605328892586</v>
      </c>
      <c r="M133" s="30">
        <f t="shared" si="96"/>
        <v>0.11423235082674366</v>
      </c>
      <c r="N133" s="30">
        <f t="shared" si="96"/>
        <v>9.0389904146697244</v>
      </c>
      <c r="O133" s="30">
        <f t="shared" si="96"/>
        <v>11.842419162840418</v>
      </c>
      <c r="P133" s="16">
        <f t="shared" si="96"/>
        <v>23.451595116506631</v>
      </c>
      <c r="Q133" s="30">
        <f t="shared" si="96"/>
        <v>4.751936887585833</v>
      </c>
      <c r="R133" s="30">
        <f t="shared" si="96"/>
        <v>1.4830422145328723</v>
      </c>
      <c r="S133" s="30">
        <f t="shared" si="96"/>
        <v>12.254988882387361</v>
      </c>
      <c r="T133" s="30">
        <f t="shared" si="96"/>
        <v>12.985178962266533</v>
      </c>
      <c r="U133" s="16">
        <f t="shared" si="96"/>
        <v>32.102852539115517</v>
      </c>
      <c r="V133" s="30">
        <f t="shared" si="96"/>
        <v>9.2861229354673878</v>
      </c>
      <c r="W133" s="30">
        <f t="shared" ref="W133" si="97">W131*W132</f>
        <v>7.1170133703768288</v>
      </c>
      <c r="X133" s="50">
        <f t="shared" ref="X133" ca="1" si="98">X131*X132</f>
        <v>25.50953488199999</v>
      </c>
      <c r="Y133" s="50">
        <f t="shared" ref="Y133" ca="1" si="99">Y131*Y132</f>
        <v>26.906232831999993</v>
      </c>
      <c r="Z133" s="51">
        <f t="shared" ref="Z133" ca="1" si="100">Z131*Z132</f>
        <v>69.58209882202614</v>
      </c>
      <c r="AA133" s="51">
        <f t="shared" ref="AA133" ca="1" si="101">AA131*AA132</f>
        <v>84.562315123819431</v>
      </c>
      <c r="AB133" s="51">
        <f t="shared" ref="AB133" ca="1" si="102">AB131*AB132</f>
        <v>104.38432476832681</v>
      </c>
      <c r="AC133" s="51">
        <f t="shared" ref="AC133" ca="1" si="103">AC131*AC132</f>
        <v>127.20200829739034</v>
      </c>
    </row>
    <row r="134" spans="1:34" ht="15" customHeight="1">
      <c r="A134" t="s">
        <v>138</v>
      </c>
      <c r="C134" s="200">
        <f>C131-C133</f>
        <v>51.383563348152585</v>
      </c>
      <c r="D134" s="200">
        <f t="shared" ref="D134:V134" si="104">D131-D133</f>
        <v>43.898221033163942</v>
      </c>
      <c r="E134" s="200">
        <f t="shared" si="104"/>
        <v>43.23780985244214</v>
      </c>
      <c r="F134" s="200">
        <f t="shared" si="104"/>
        <v>24.377062806845284</v>
      </c>
      <c r="G134" s="201">
        <f t="shared" si="104"/>
        <v>7.5975063602790334</v>
      </c>
      <c r="H134" s="201">
        <f t="shared" si="104"/>
        <v>-7.4272468102397404</v>
      </c>
      <c r="I134" s="201">
        <f t="shared" si="104"/>
        <v>15.112832599392167</v>
      </c>
      <c r="J134" s="201">
        <f t="shared" si="104"/>
        <v>18.051584007449222</v>
      </c>
      <c r="K134" s="200">
        <f t="shared" si="104"/>
        <v>33.263144991523021</v>
      </c>
      <c r="L134" s="201">
        <f t="shared" si="104"/>
        <v>6.9646394671107403</v>
      </c>
      <c r="M134" s="201">
        <f t="shared" si="104"/>
        <v>0.42476764917325782</v>
      </c>
      <c r="N134" s="201">
        <f t="shared" si="104"/>
        <v>27.531009585330281</v>
      </c>
      <c r="O134" s="201">
        <f t="shared" si="104"/>
        <v>35.715580837159592</v>
      </c>
      <c r="P134" s="200">
        <f t="shared" si="104"/>
        <v>70.057404883493348</v>
      </c>
      <c r="Q134" s="201">
        <f t="shared" si="104"/>
        <v>15.001063112414164</v>
      </c>
      <c r="R134" s="201">
        <f t="shared" si="104"/>
        <v>5.1929577854671294</v>
      </c>
      <c r="S134" s="201">
        <f t="shared" si="104"/>
        <v>37.473011117612636</v>
      </c>
      <c r="T134" s="201">
        <f t="shared" si="104"/>
        <v>37.110821037733459</v>
      </c>
      <c r="U134" s="200">
        <f t="shared" si="104"/>
        <v>95.553147460884503</v>
      </c>
      <c r="V134" s="201">
        <f t="shared" si="104"/>
        <v>28.325877064532648</v>
      </c>
      <c r="W134" s="201">
        <f t="shared" ref="W134" si="105">W131-W133</f>
        <v>24.903986629623123</v>
      </c>
      <c r="X134" s="78">
        <f t="shared" ref="X134" ca="1" si="106">X131-X133</f>
        <v>76.528604645999962</v>
      </c>
      <c r="Y134" s="78">
        <f t="shared" ref="Y134" ca="1" si="107">Y131-Y133</f>
        <v>78.196239167999977</v>
      </c>
      <c r="Z134" s="203">
        <f t="shared" ref="Z134" ca="1" si="108">Z131-Z133</f>
        <v>207.19151270597382</v>
      </c>
      <c r="AA134" s="203">
        <f t="shared" ref="AA134" ca="1" si="109">AA131-AA133</f>
        <v>251.6695541557807</v>
      </c>
      <c r="AB134" s="203">
        <f t="shared" ref="AB134" ca="1" si="110">AB131-AB133</f>
        <v>310.66269220315155</v>
      </c>
      <c r="AC134" s="203">
        <f t="shared" ref="AC134" ca="1" si="111">AC131-AC133</f>
        <v>378.57138453517564</v>
      </c>
    </row>
    <row r="135" spans="1:34" ht="15" customHeight="1" thickBot="1">
      <c r="A135" t="s">
        <v>139</v>
      </c>
      <c r="C135" s="200">
        <f>C134</f>
        <v>51.383563348152585</v>
      </c>
      <c r="D135" s="200">
        <f t="shared" ref="D135:F135" si="112">D134</f>
        <v>43.898221033163942</v>
      </c>
      <c r="E135" s="200">
        <f t="shared" si="112"/>
        <v>43.23780985244214</v>
      </c>
      <c r="F135" s="200">
        <f t="shared" si="112"/>
        <v>24.377062806845284</v>
      </c>
      <c r="K135" s="200">
        <f>K134</f>
        <v>33.263144991523021</v>
      </c>
      <c r="L135" s="201">
        <f>L134+SUM(H134:J134)</f>
        <v>32.701809263712391</v>
      </c>
      <c r="M135" s="201">
        <f>M134+L134+J134+I134</f>
        <v>40.55382372312539</v>
      </c>
      <c r="N135" s="201">
        <f>N134+M134+L134+J134</f>
        <v>52.972000709063501</v>
      </c>
      <c r="O135" s="201">
        <f>P134</f>
        <v>70.057404883493348</v>
      </c>
      <c r="P135" s="200">
        <f>P134</f>
        <v>70.057404883493348</v>
      </c>
      <c r="Q135" s="30">
        <f>Q134+SUM(M134:O134)</f>
        <v>78.672421184077294</v>
      </c>
      <c r="R135" s="30">
        <f>R134+Q134+O134+N134</f>
        <v>83.440611320371175</v>
      </c>
      <c r="S135" s="30">
        <f>S134+R134+Q134+O134</f>
        <v>93.382612852653523</v>
      </c>
      <c r="T135" s="30">
        <f>U134</f>
        <v>95.553147460884503</v>
      </c>
      <c r="U135" s="200">
        <f>U134</f>
        <v>95.553147460884503</v>
      </c>
      <c r="V135" s="201">
        <f>V134+SUM(R134:T134)</f>
        <v>108.10266700534586</v>
      </c>
      <c r="W135" s="201">
        <f t="shared" ref="W135:Y135" si="113">W134+SUM(S134:U134)</f>
        <v>195.04096624585372</v>
      </c>
      <c r="X135" s="78">
        <f t="shared" ca="1" si="113"/>
        <v>237.51845020915059</v>
      </c>
      <c r="Y135" s="78">
        <f t="shared" ca="1" si="113"/>
        <v>226.97925032304025</v>
      </c>
      <c r="Z135" s="203">
        <f ca="1">Z134</f>
        <v>207.19151270597382</v>
      </c>
      <c r="AA135" s="203">
        <f ca="1">AA134</f>
        <v>251.6695541557807</v>
      </c>
      <c r="AB135" s="203">
        <f t="shared" ref="AB135:AC135" ca="1" si="114">AB134</f>
        <v>310.66269220315155</v>
      </c>
      <c r="AC135" s="203">
        <f t="shared" ca="1" si="114"/>
        <v>378.57138453517564</v>
      </c>
    </row>
    <row r="136" spans="1:34" s="23" customFormat="1" ht="15" customHeight="1" thickBot="1">
      <c r="A136" s="101" t="s">
        <v>128</v>
      </c>
      <c r="C136" s="202">
        <f>C135/C125</f>
        <v>0.136461705063851</v>
      </c>
      <c r="D136" s="202">
        <f t="shared" ref="D136:AC136" si="115">D135/D125</f>
        <v>0.10677351187973737</v>
      </c>
      <c r="E136" s="202">
        <f t="shared" si="115"/>
        <v>8.522603557133733E-2</v>
      </c>
      <c r="F136" s="202">
        <f t="shared" si="115"/>
        <v>3.6932033850128908E-2</v>
      </c>
      <c r="G136" s="72">
        <f t="shared" si="115"/>
        <v>0</v>
      </c>
      <c r="H136" s="72">
        <f t="shared" si="115"/>
        <v>0</v>
      </c>
      <c r="I136" s="72">
        <f t="shared" si="115"/>
        <v>0</v>
      </c>
      <c r="J136" s="72">
        <f t="shared" si="115"/>
        <v>0</v>
      </c>
      <c r="K136" s="202">
        <f t="shared" si="115"/>
        <v>3.7624076443993411E-2</v>
      </c>
      <c r="L136" s="72">
        <f t="shared" si="115"/>
        <v>3.475484762246675E-2</v>
      </c>
      <c r="M136" s="72">
        <f t="shared" si="115"/>
        <v>4.354833809559263E-2</v>
      </c>
      <c r="N136" s="72">
        <f t="shared" si="115"/>
        <v>5.5213042907641778E-2</v>
      </c>
      <c r="O136" s="72">
        <f t="shared" si="115"/>
        <v>7.3142557979049672E-2</v>
      </c>
      <c r="P136" s="202">
        <f t="shared" si="115"/>
        <v>7.3142557979049672E-2</v>
      </c>
      <c r="Q136" s="72">
        <f t="shared" si="115"/>
        <v>7.625535519060081E-2</v>
      </c>
      <c r="R136" s="72">
        <f t="shared" si="115"/>
        <v>7.9937969318732288E-2</v>
      </c>
      <c r="S136" s="72">
        <f t="shared" si="115"/>
        <v>8.3578144320553688E-2</v>
      </c>
      <c r="T136" s="72">
        <f t="shared" si="115"/>
        <v>7.9806589160262315E-2</v>
      </c>
      <c r="U136" s="202">
        <f t="shared" si="115"/>
        <v>7.9806589160262315E-2</v>
      </c>
      <c r="V136" s="72">
        <f t="shared" si="115"/>
        <v>5.0362952326117393E-2</v>
      </c>
      <c r="W136" s="72">
        <f t="shared" si="115"/>
        <v>8.5002763642084422E-2</v>
      </c>
      <c r="X136" s="90" t="e">
        <f t="shared" ca="1" si="115"/>
        <v>#DIV/0!</v>
      </c>
      <c r="Y136" s="90" t="e">
        <f t="shared" ca="1" si="115"/>
        <v>#DIV/0!</v>
      </c>
      <c r="Z136" s="107" t="e">
        <f t="shared" ca="1" si="115"/>
        <v>#DIV/0!</v>
      </c>
      <c r="AA136" s="107" t="e">
        <f t="shared" ca="1" si="115"/>
        <v>#DIV/0!</v>
      </c>
      <c r="AB136" s="107" t="e">
        <f t="shared" ca="1" si="115"/>
        <v>#DIV/0!</v>
      </c>
      <c r="AC136" s="107" t="e">
        <f t="shared" ca="1" si="115"/>
        <v>#DIV/0!</v>
      </c>
      <c r="AD136" s="60"/>
      <c r="AE136" s="60"/>
      <c r="AF136" s="60"/>
      <c r="AG136" s="60"/>
      <c r="AH136" s="60"/>
    </row>
    <row r="137" spans="1:34" s="23" customFormat="1" ht="15" customHeight="1" thickBot="1">
      <c r="A137" s="101" t="s">
        <v>224</v>
      </c>
      <c r="C137" s="202">
        <f>C135/C128</f>
        <v>0.15117792728237708</v>
      </c>
      <c r="D137" s="202">
        <f t="shared" ref="D137:AC137" si="116">D135/D128</f>
        <v>0.11891573986239873</v>
      </c>
      <c r="E137" s="202">
        <f t="shared" si="116"/>
        <v>9.4455400882215615E-2</v>
      </c>
      <c r="F137" s="202">
        <f t="shared" si="116"/>
        <v>4.2731766792549412E-2</v>
      </c>
      <c r="G137" s="72">
        <f t="shared" si="116"/>
        <v>0</v>
      </c>
      <c r="H137" s="72">
        <f t="shared" si="116"/>
        <v>0</v>
      </c>
      <c r="I137" s="72">
        <f t="shared" si="116"/>
        <v>0</v>
      </c>
      <c r="J137" s="72">
        <f t="shared" si="116"/>
        <v>0</v>
      </c>
      <c r="K137" s="202">
        <f t="shared" si="116"/>
        <v>4.5032288579482084E-2</v>
      </c>
      <c r="L137" s="72">
        <f t="shared" si="116"/>
        <v>4.2731655170325747E-2</v>
      </c>
      <c r="M137" s="72">
        <f t="shared" si="116"/>
        <v>5.3895490778992708E-2</v>
      </c>
      <c r="N137" s="72">
        <f t="shared" si="116"/>
        <v>6.7829947140306143E-2</v>
      </c>
      <c r="O137" s="72">
        <f t="shared" si="116"/>
        <v>8.9929020555682512E-2</v>
      </c>
      <c r="P137" s="202">
        <f t="shared" si="116"/>
        <v>8.9929020555682512E-2</v>
      </c>
      <c r="Q137" s="72">
        <f t="shared" si="116"/>
        <v>9.4176061060022409E-2</v>
      </c>
      <c r="R137" s="72">
        <f t="shared" si="116"/>
        <v>9.9227863655886345E-2</v>
      </c>
      <c r="S137" s="72">
        <f t="shared" si="116"/>
        <v>0.10421038442562973</v>
      </c>
      <c r="T137" s="72">
        <f t="shared" si="116"/>
        <v>0.10110331504351321</v>
      </c>
      <c r="U137" s="202">
        <f t="shared" si="116"/>
        <v>0.10110331504351321</v>
      </c>
      <c r="V137" s="72">
        <f t="shared" si="116"/>
        <v>7.6443780914662168E-2</v>
      </c>
      <c r="W137" s="72">
        <f t="shared" si="116"/>
        <v>0.13271984251563129</v>
      </c>
      <c r="X137" s="90" t="e">
        <f t="shared" ca="1" si="116"/>
        <v>#DIV/0!</v>
      </c>
      <c r="Y137" s="90" t="e">
        <f t="shared" ca="1" si="116"/>
        <v>#DIV/0!</v>
      </c>
      <c r="Z137" s="107">
        <f t="shared" ca="1" si="116"/>
        <v>0.1220946026235232</v>
      </c>
      <c r="AA137" s="107">
        <f t="shared" ca="1" si="116"/>
        <v>0.12358732671116855</v>
      </c>
      <c r="AB137" s="107">
        <f t="shared" ca="1" si="116"/>
        <v>0.12713089778603306</v>
      </c>
      <c r="AC137" s="107">
        <f t="shared" ca="1" si="116"/>
        <v>0.12910068594210755</v>
      </c>
      <c r="AD137" s="60"/>
      <c r="AE137" s="60"/>
      <c r="AF137" s="60"/>
      <c r="AG137" s="60"/>
      <c r="AH137" s="60"/>
    </row>
    <row r="139" spans="1:34" s="10" customFormat="1" ht="15" customHeight="1">
      <c r="A139" s="187" t="s">
        <v>140</v>
      </c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</row>
    <row r="140" spans="1:34" ht="15" customHeight="1">
      <c r="A140" s="188" t="s">
        <v>141</v>
      </c>
      <c r="B140" s="188"/>
      <c r="C140" s="188"/>
      <c r="D140" s="188"/>
      <c r="E140" s="188"/>
      <c r="F140" s="188"/>
      <c r="K140" s="188"/>
      <c r="P140" s="188"/>
      <c r="U140" s="188"/>
    </row>
    <row r="141" spans="1:34" ht="15" customHeight="1">
      <c r="A141" s="192" t="s">
        <v>142</v>
      </c>
      <c r="B141" s="208">
        <v>26.04</v>
      </c>
      <c r="C141" s="208">
        <v>50.790999999999997</v>
      </c>
      <c r="D141" s="208">
        <v>43.121000000000002</v>
      </c>
      <c r="E141" s="208">
        <v>40.296999999999997</v>
      </c>
      <c r="F141" s="208">
        <v>20.177</v>
      </c>
      <c r="G141" s="30">
        <v>5.5110000000000001</v>
      </c>
      <c r="H141" s="30">
        <v>-9.4179999999999993</v>
      </c>
      <c r="I141" s="30">
        <v>12.167999999999999</v>
      </c>
      <c r="J141" s="30">
        <v>13.115</v>
      </c>
      <c r="K141" s="208">
        <v>21.376000000000001</v>
      </c>
      <c r="L141" s="30">
        <v>1.8919999999999999</v>
      </c>
      <c r="M141" s="30">
        <v>-5.4809999999999999</v>
      </c>
      <c r="N141" s="30">
        <v>21.677</v>
      </c>
      <c r="O141" s="30">
        <v>30.913</v>
      </c>
      <c r="P141" s="208">
        <v>49.000999999999998</v>
      </c>
      <c r="Q141" s="30">
        <v>9.843</v>
      </c>
      <c r="R141" s="30">
        <v>-1.1240000000000001</v>
      </c>
      <c r="S141" s="30">
        <v>30.908000000000001</v>
      </c>
      <c r="T141" s="30">
        <v>29.308</v>
      </c>
      <c r="U141" s="208">
        <v>68.935000000000002</v>
      </c>
      <c r="V141" s="30">
        <v>-3.0510000000000002</v>
      </c>
      <c r="W141" s="40">
        <v>4.2149999999999999</v>
      </c>
    </row>
    <row r="142" spans="1:34" ht="15" customHeight="1">
      <c r="A142" s="190" t="s">
        <v>143</v>
      </c>
      <c r="B142" s="208">
        <v>21.071999999999999</v>
      </c>
      <c r="C142" s="208">
        <v>25.321000000000002</v>
      </c>
      <c r="D142" s="208">
        <v>31.231000000000002</v>
      </c>
      <c r="E142" s="208">
        <v>39.301000000000002</v>
      </c>
      <c r="F142" s="208">
        <v>49.805999999999997</v>
      </c>
      <c r="G142" s="30">
        <v>15.903</v>
      </c>
      <c r="H142" s="30">
        <v>17.143999999999998</v>
      </c>
      <c r="I142" s="30">
        <v>17.244</v>
      </c>
      <c r="J142" s="30">
        <v>15.439</v>
      </c>
      <c r="K142" s="208">
        <v>65.73</v>
      </c>
      <c r="L142" s="30">
        <v>18.375</v>
      </c>
      <c r="M142" s="30">
        <v>19.858000000000001</v>
      </c>
      <c r="N142" s="30">
        <v>19.536000000000001</v>
      </c>
      <c r="O142" s="30">
        <v>21.331</v>
      </c>
      <c r="P142" s="208">
        <v>79.099999999999994</v>
      </c>
      <c r="Q142" s="30">
        <v>21.120999999999999</v>
      </c>
      <c r="R142" s="30">
        <v>22.84</v>
      </c>
      <c r="S142" s="30">
        <v>23.507000000000001</v>
      </c>
      <c r="T142" s="30">
        <v>25.452000000000002</v>
      </c>
      <c r="U142" s="208">
        <v>92.92</v>
      </c>
      <c r="V142" s="30">
        <v>31.184000000000001</v>
      </c>
      <c r="W142" s="40">
        <v>37.262999999999998</v>
      </c>
    </row>
    <row r="143" spans="1:34" ht="15" customHeight="1">
      <c r="A143" s="191" t="s">
        <v>144</v>
      </c>
      <c r="B143" s="208">
        <v>0.27200000000000002</v>
      </c>
      <c r="C143" s="208">
        <v>24.821000000000002</v>
      </c>
      <c r="D143" s="208">
        <v>30.131</v>
      </c>
      <c r="E143" s="208">
        <v>39.100999999999999</v>
      </c>
      <c r="F143" s="208">
        <v>49.506</v>
      </c>
      <c r="G143" s="30">
        <v>15.8</v>
      </c>
      <c r="H143" s="30">
        <v>17</v>
      </c>
      <c r="I143" s="30">
        <v>17.600000000000001</v>
      </c>
      <c r="J143" s="30">
        <v>14.53</v>
      </c>
      <c r="K143" s="208">
        <v>64.930000000000007</v>
      </c>
      <c r="L143" s="30">
        <v>19.3</v>
      </c>
      <c r="M143" s="30">
        <v>20.399999999999999</v>
      </c>
      <c r="N143" s="30"/>
      <c r="O143" s="30"/>
      <c r="P143" s="208">
        <v>76.7</v>
      </c>
      <c r="Q143" s="30">
        <v>21</v>
      </c>
      <c r="R143" s="30">
        <v>23.1</v>
      </c>
      <c r="S143" s="30">
        <v>23.5</v>
      </c>
      <c r="T143" s="30">
        <v>23.12</v>
      </c>
      <c r="U143" s="208">
        <v>90.72</v>
      </c>
      <c r="V143" s="30"/>
    </row>
    <row r="144" spans="1:34" ht="15" customHeight="1">
      <c r="A144" s="191" t="s">
        <v>145</v>
      </c>
      <c r="B144" s="208">
        <v>20.8</v>
      </c>
      <c r="C144" s="208">
        <v>0.5</v>
      </c>
      <c r="D144" s="208">
        <v>1.1000000000000001</v>
      </c>
      <c r="E144" s="208">
        <v>0.2</v>
      </c>
      <c r="F144" s="208">
        <v>0.3</v>
      </c>
      <c r="G144" s="30">
        <v>0.10299999999999999</v>
      </c>
      <c r="H144" s="30">
        <v>0.14399999999999999</v>
      </c>
      <c r="I144" s="30">
        <v>-0.35599999999999998</v>
      </c>
      <c r="J144" s="30">
        <v>0.90900000000000003</v>
      </c>
      <c r="K144" s="208">
        <v>0.8</v>
      </c>
      <c r="L144" s="30">
        <v>-0.92500000000000004</v>
      </c>
      <c r="M144" s="30">
        <v>-0.54200000000000004</v>
      </c>
      <c r="N144" s="30"/>
      <c r="O144" s="30"/>
      <c r="P144" s="208">
        <v>2.4</v>
      </c>
      <c r="Q144" s="30">
        <v>0.121</v>
      </c>
      <c r="R144" s="30">
        <v>-0.26</v>
      </c>
      <c r="S144" s="30">
        <v>7.0000000000000001E-3</v>
      </c>
      <c r="T144" s="30">
        <v>2.3319999999999999</v>
      </c>
      <c r="U144" s="208">
        <v>2.2000000000000002</v>
      </c>
      <c r="V144" s="30"/>
    </row>
    <row r="145" spans="1:23" ht="15" customHeight="1">
      <c r="A145" s="190" t="s">
        <v>146</v>
      </c>
      <c r="B145" s="208">
        <v>0</v>
      </c>
      <c r="C145" s="208">
        <v>-0.48099999999999998</v>
      </c>
      <c r="D145" s="208">
        <v>2.9969999999999999</v>
      </c>
      <c r="E145" s="208">
        <v>3.31</v>
      </c>
      <c r="F145" s="208">
        <v>3.7450000000000001</v>
      </c>
      <c r="G145" s="30">
        <v>-0.29499999999999998</v>
      </c>
      <c r="H145" s="30">
        <v>0.05</v>
      </c>
      <c r="I145" s="30">
        <v>5.1999999999999998E-2</v>
      </c>
      <c r="J145" s="30">
        <v>6.1589999999999998</v>
      </c>
      <c r="K145" s="208">
        <v>5.9660000000000002</v>
      </c>
      <c r="L145" s="30">
        <v>-0.30199999999999999</v>
      </c>
      <c r="M145" s="30">
        <v>7.8E-2</v>
      </c>
      <c r="N145" s="30">
        <v>7.9000000000000001E-2</v>
      </c>
      <c r="O145" s="30">
        <v>11.31</v>
      </c>
      <c r="P145" s="208">
        <v>11.164999999999999</v>
      </c>
      <c r="Q145" s="30">
        <v>-0.40400000000000003</v>
      </c>
      <c r="R145" s="30">
        <v>9.8000000000000004E-2</v>
      </c>
      <c r="S145" s="30">
        <v>0.112</v>
      </c>
      <c r="T145" s="30">
        <v>22.875</v>
      </c>
      <c r="U145" s="208">
        <v>22.681000000000001</v>
      </c>
      <c r="V145" s="30">
        <v>-1.411</v>
      </c>
      <c r="W145" s="40">
        <v>-6.9000000000000006E-2</v>
      </c>
    </row>
    <row r="146" spans="1:23" ht="15" customHeight="1">
      <c r="A146" s="191" t="s">
        <v>147</v>
      </c>
      <c r="B146" s="208">
        <v>0</v>
      </c>
      <c r="C146" s="208">
        <v>-0.48099999999999998</v>
      </c>
      <c r="D146" s="208">
        <v>2.9969999999999999</v>
      </c>
      <c r="E146" s="208">
        <v>3.31</v>
      </c>
      <c r="F146" s="208">
        <v>3.7450000000000001</v>
      </c>
      <c r="G146" s="30">
        <v>-0.29499999999999998</v>
      </c>
      <c r="H146" s="30">
        <v>0.05</v>
      </c>
      <c r="I146" s="30">
        <v>5.1999999999999998E-2</v>
      </c>
      <c r="J146" s="30">
        <v>6.1589999999999998</v>
      </c>
      <c r="K146" s="208">
        <v>5.9660000000000002</v>
      </c>
      <c r="L146" s="30">
        <v>-0.30199999999999999</v>
      </c>
      <c r="M146" s="30">
        <v>7.8E-2</v>
      </c>
      <c r="N146" s="30">
        <v>7.9000000000000001E-2</v>
      </c>
      <c r="O146" s="30">
        <v>11.31</v>
      </c>
      <c r="P146" s="208">
        <v>11.164999999999999</v>
      </c>
      <c r="Q146" s="30">
        <v>-0.40400000000000003</v>
      </c>
      <c r="R146" s="30">
        <v>9.8000000000000004E-2</v>
      </c>
      <c r="S146" s="30">
        <v>0.112</v>
      </c>
      <c r="T146" s="30">
        <v>22.875</v>
      </c>
      <c r="U146" s="208">
        <v>22.681000000000001</v>
      </c>
      <c r="V146" s="30">
        <v>-1.411</v>
      </c>
      <c r="W146" s="40">
        <v>-6.9000000000000006E-2</v>
      </c>
    </row>
    <row r="147" spans="1:23" ht="15" customHeight="1">
      <c r="A147" s="192" t="s">
        <v>148</v>
      </c>
      <c r="B147" s="208">
        <v>1.64</v>
      </c>
      <c r="C147" s="208">
        <v>-1.978</v>
      </c>
      <c r="D147" s="208">
        <v>1.3149999999999999</v>
      </c>
      <c r="E147" s="208">
        <v>3.0219999999999998</v>
      </c>
      <c r="F147" s="208">
        <v>-0.6</v>
      </c>
      <c r="G147" s="30">
        <v>1.1299999999999999</v>
      </c>
      <c r="H147" s="30">
        <v>-1.1719999999999999</v>
      </c>
      <c r="I147" s="30">
        <v>-2.3E-2</v>
      </c>
      <c r="J147" s="30">
        <v>3.34</v>
      </c>
      <c r="K147" s="208">
        <v>3.2749999999999999</v>
      </c>
      <c r="L147" s="30">
        <v>-2.0070000000000001</v>
      </c>
      <c r="M147" s="30">
        <v>0.90600000000000003</v>
      </c>
      <c r="N147" s="30">
        <v>0.77200000000000002</v>
      </c>
      <c r="O147" s="30">
        <v>-0.48499999999999999</v>
      </c>
      <c r="P147" s="208">
        <v>-0.81399999999999995</v>
      </c>
      <c r="Q147" s="30">
        <v>2.5710000000000002</v>
      </c>
      <c r="R147" s="30">
        <v>2.2879999999999998</v>
      </c>
      <c r="S147" s="30">
        <v>3.0409999999999999</v>
      </c>
      <c r="T147" s="30">
        <v>2.8220000000000001</v>
      </c>
      <c r="U147" s="208">
        <v>10.722</v>
      </c>
      <c r="V147" s="30">
        <v>13.724</v>
      </c>
      <c r="W147" s="40">
        <v>2.6480000000000001</v>
      </c>
    </row>
    <row r="148" spans="1:23" ht="15" customHeight="1">
      <c r="A148" s="192" t="s">
        <v>149</v>
      </c>
      <c r="B148" s="208">
        <v>48.752000000000002</v>
      </c>
      <c r="C148" s="208">
        <v>73.653000000000006</v>
      </c>
      <c r="D148" s="208">
        <v>78.664000000000001</v>
      </c>
      <c r="E148" s="208">
        <v>85.93</v>
      </c>
      <c r="F148" s="208">
        <v>73.128</v>
      </c>
      <c r="G148" s="30">
        <v>22.248999999999999</v>
      </c>
      <c r="H148" s="30">
        <v>6.6040000000000001</v>
      </c>
      <c r="I148" s="30">
        <v>29.440999999999999</v>
      </c>
      <c r="J148" s="30">
        <v>38.052999999999997</v>
      </c>
      <c r="K148" s="208">
        <v>96.346999999999994</v>
      </c>
      <c r="L148" s="30">
        <v>17.957999999999998</v>
      </c>
      <c r="M148" s="30">
        <v>15.361000000000001</v>
      </c>
      <c r="N148" s="30">
        <v>42.064</v>
      </c>
      <c r="O148" s="30">
        <v>63.069000000000003</v>
      </c>
      <c r="P148" s="208">
        <v>138.452</v>
      </c>
      <c r="Q148" s="30">
        <v>33.131</v>
      </c>
      <c r="R148" s="30">
        <v>24.102</v>
      </c>
      <c r="S148" s="30">
        <v>57.567999999999998</v>
      </c>
      <c r="T148" s="30">
        <v>80.456999999999994</v>
      </c>
      <c r="U148" s="208">
        <v>195.25800000000001</v>
      </c>
      <c r="V148" s="30">
        <v>40.445999999999998</v>
      </c>
      <c r="W148" s="40">
        <v>44.057000000000002</v>
      </c>
    </row>
    <row r="149" spans="1:23" ht="15" customHeight="1">
      <c r="A149" s="190" t="s">
        <v>150</v>
      </c>
      <c r="B149" s="208">
        <v>-1.825</v>
      </c>
      <c r="C149" s="208">
        <v>-7.532</v>
      </c>
      <c r="D149" s="208">
        <v>-20.89</v>
      </c>
      <c r="E149" s="208">
        <v>19.603999999999999</v>
      </c>
      <c r="F149" s="208">
        <v>-24.628</v>
      </c>
      <c r="G149" s="30">
        <v>-22.826000000000001</v>
      </c>
      <c r="H149" s="30">
        <v>-2.7330000000000001</v>
      </c>
      <c r="I149" s="30">
        <v>-42.456000000000003</v>
      </c>
      <c r="J149" s="30">
        <v>-11.834</v>
      </c>
      <c r="K149" s="208">
        <v>-79.849000000000004</v>
      </c>
      <c r="L149" s="30">
        <v>10.926</v>
      </c>
      <c r="M149" s="30">
        <v>1.4510000000000001</v>
      </c>
      <c r="N149" s="30">
        <v>6.782</v>
      </c>
      <c r="O149" s="30">
        <v>-0.45400000000000001</v>
      </c>
      <c r="P149" s="208">
        <v>18.704999999999998</v>
      </c>
      <c r="Q149" s="30">
        <v>27.247</v>
      </c>
      <c r="R149" s="30">
        <v>-5.93</v>
      </c>
      <c r="S149" s="30">
        <v>-22.937000000000001</v>
      </c>
      <c r="T149" s="30">
        <v>15.441000000000001</v>
      </c>
      <c r="U149" s="208">
        <v>13.821</v>
      </c>
      <c r="V149" s="30">
        <v>0.217</v>
      </c>
      <c r="W149" s="40">
        <v>11.577</v>
      </c>
    </row>
    <row r="150" spans="1:23" ht="15" customHeight="1">
      <c r="A150" s="191" t="s">
        <v>151</v>
      </c>
      <c r="B150" s="208">
        <v>-14.398999999999999</v>
      </c>
      <c r="C150" s="208">
        <v>6.3179999999999996</v>
      </c>
      <c r="D150" s="208">
        <v>-23.282</v>
      </c>
      <c r="E150" s="208">
        <v>11.564</v>
      </c>
      <c r="F150" s="208">
        <v>-42.223999999999997</v>
      </c>
      <c r="G150" s="30">
        <v>1.964</v>
      </c>
      <c r="H150" s="30">
        <v>-7.0460000000000003</v>
      </c>
      <c r="I150" s="30">
        <v>-76.27</v>
      </c>
      <c r="J150" s="30">
        <v>-21.846</v>
      </c>
      <c r="K150" s="208">
        <v>-103.19799999999999</v>
      </c>
      <c r="L150" s="30">
        <v>44.573999999999998</v>
      </c>
      <c r="M150" s="30">
        <v>-9.7390000000000008</v>
      </c>
      <c r="N150" s="30">
        <v>-15.638</v>
      </c>
      <c r="O150" s="30">
        <v>-42.585000000000001</v>
      </c>
      <c r="P150" s="208">
        <v>-23.388000000000002</v>
      </c>
      <c r="Q150" s="30">
        <v>61.304000000000002</v>
      </c>
      <c r="R150" s="30">
        <v>-25.66</v>
      </c>
      <c r="S150" s="30">
        <v>-51.226999999999997</v>
      </c>
      <c r="T150" s="30">
        <v>14.487</v>
      </c>
      <c r="U150" s="208">
        <v>-1.0960000000000001</v>
      </c>
      <c r="V150" s="30">
        <v>56.792999999999999</v>
      </c>
      <c r="W150" s="40">
        <v>-22.463999999999999</v>
      </c>
    </row>
    <row r="151" spans="1:23" ht="15" customHeight="1">
      <c r="A151" s="191" t="s">
        <v>88</v>
      </c>
      <c r="B151" s="208">
        <v>-3.0630000000000002</v>
      </c>
      <c r="C151" s="208">
        <v>-2.746</v>
      </c>
      <c r="D151" s="208">
        <v>-8.8260000000000005</v>
      </c>
      <c r="E151" s="208">
        <v>-1.1830000000000001</v>
      </c>
      <c r="F151" s="208">
        <v>-3.9319999999999999</v>
      </c>
      <c r="G151" s="30">
        <v>-2.5289999999999999</v>
      </c>
      <c r="H151" s="30">
        <v>-11.135999999999999</v>
      </c>
      <c r="I151" s="30">
        <v>-8.0609999999999999</v>
      </c>
      <c r="J151" s="30">
        <v>4.2130000000000001</v>
      </c>
      <c r="K151" s="208">
        <v>-17.513000000000002</v>
      </c>
      <c r="L151" s="30">
        <v>-3.4670000000000001</v>
      </c>
      <c r="M151" s="30">
        <v>-6.6849999999999996</v>
      </c>
      <c r="N151" s="30">
        <v>-1.847</v>
      </c>
      <c r="O151" s="30">
        <v>4.6790000000000003</v>
      </c>
      <c r="P151" s="208">
        <v>-7.32</v>
      </c>
      <c r="Q151" s="30">
        <v>-9.8800000000000008</v>
      </c>
      <c r="R151" s="30">
        <v>-6.0880000000000001</v>
      </c>
      <c r="S151" s="30">
        <v>-0.99099999999999999</v>
      </c>
      <c r="T151" s="30">
        <v>1.4790000000000001</v>
      </c>
      <c r="U151" s="208">
        <v>-15.48</v>
      </c>
      <c r="V151" s="30">
        <v>-10.433999999999999</v>
      </c>
      <c r="W151" s="40">
        <v>6.0469999999999997</v>
      </c>
    </row>
    <row r="152" spans="1:23" ht="15" customHeight="1">
      <c r="A152" s="191" t="s">
        <v>152</v>
      </c>
      <c r="B152" s="208">
        <v>11.638999999999999</v>
      </c>
      <c r="C152" s="208">
        <v>7.4619999999999997</v>
      </c>
      <c r="D152" s="208">
        <v>6.9320000000000004</v>
      </c>
      <c r="E152" s="208">
        <v>-5.71</v>
      </c>
      <c r="F152" s="208">
        <v>20.201000000000001</v>
      </c>
      <c r="G152" s="30">
        <v>-10.432</v>
      </c>
      <c r="H152" s="30">
        <v>8.0060000000000002</v>
      </c>
      <c r="I152" s="30">
        <v>32.451000000000001</v>
      </c>
      <c r="J152" s="30">
        <v>11.294</v>
      </c>
      <c r="K152" s="208">
        <v>41.319000000000003</v>
      </c>
      <c r="L152" s="30">
        <v>-23.58</v>
      </c>
      <c r="M152" s="30">
        <v>10.816000000000001</v>
      </c>
      <c r="N152" s="30">
        <v>5.3230000000000004</v>
      </c>
      <c r="O152" s="30">
        <v>24.661000000000001</v>
      </c>
      <c r="P152" s="208">
        <v>17.22</v>
      </c>
      <c r="Q152" s="30">
        <v>-26.33</v>
      </c>
      <c r="R152" s="30">
        <v>13.794</v>
      </c>
      <c r="S152" s="30">
        <v>13.170999999999999</v>
      </c>
      <c r="T152" s="30">
        <v>12.798</v>
      </c>
      <c r="U152" s="208">
        <v>13.433</v>
      </c>
      <c r="V152" s="30">
        <v>-47.49</v>
      </c>
      <c r="W152" s="40">
        <v>19.884</v>
      </c>
    </row>
    <row r="153" spans="1:23" ht="15" customHeight="1">
      <c r="A153" s="191" t="s">
        <v>153</v>
      </c>
      <c r="B153" s="208">
        <v>5.5049999999999999</v>
      </c>
      <c r="C153" s="208">
        <v>-4.7779999999999996</v>
      </c>
      <c r="D153" s="208">
        <v>2.117</v>
      </c>
      <c r="E153" s="208">
        <v>3.0859999999999999</v>
      </c>
      <c r="F153" s="208">
        <v>3.8479999999999999</v>
      </c>
      <c r="G153" s="30">
        <v>-13.816000000000001</v>
      </c>
      <c r="H153" s="30">
        <v>1.859</v>
      </c>
      <c r="I153" s="30">
        <v>5.0110000000000001</v>
      </c>
      <c r="J153" s="30">
        <v>-4.6130000000000004</v>
      </c>
      <c r="K153" s="208">
        <v>-11.558999999999999</v>
      </c>
      <c r="L153" s="30">
        <v>-9.6609999999999996</v>
      </c>
      <c r="M153" s="30">
        <v>3.3719999999999999</v>
      </c>
      <c r="N153" s="30">
        <v>4.548</v>
      </c>
      <c r="O153" s="30">
        <v>4.0810000000000004</v>
      </c>
      <c r="P153" s="208">
        <v>2.34</v>
      </c>
      <c r="Q153" s="30">
        <v>-8.3219999999999992</v>
      </c>
      <c r="R153" s="30">
        <v>-3.6539999999999999</v>
      </c>
      <c r="S153" s="30">
        <v>17.346</v>
      </c>
      <c r="T153" s="30">
        <v>-0.54200000000000004</v>
      </c>
      <c r="U153" s="208">
        <v>4.8280000000000003</v>
      </c>
      <c r="V153" s="30">
        <v>-6.5540000000000003</v>
      </c>
      <c r="W153" s="40">
        <v>7.1210000000000004</v>
      </c>
    </row>
    <row r="154" spans="1:23" ht="15" customHeight="1">
      <c r="A154" s="191" t="s">
        <v>154</v>
      </c>
      <c r="B154" s="208">
        <v>-1.5069999999999999</v>
      </c>
      <c r="C154" s="208">
        <v>-13.788</v>
      </c>
      <c r="D154" s="208">
        <v>2.169</v>
      </c>
      <c r="E154" s="208">
        <v>11.847</v>
      </c>
      <c r="F154" s="208">
        <v>-2.5209999999999999</v>
      </c>
      <c r="G154" s="30">
        <v>1.9870000000000001</v>
      </c>
      <c r="H154" s="30">
        <v>5.5839999999999996</v>
      </c>
      <c r="I154" s="30">
        <v>4.4130000000000003</v>
      </c>
      <c r="J154" s="30">
        <v>-0.88200000000000001</v>
      </c>
      <c r="K154" s="208">
        <v>11.102</v>
      </c>
      <c r="L154" s="30">
        <v>3.06</v>
      </c>
      <c r="M154" s="30">
        <v>3.6869999999999998</v>
      </c>
      <c r="N154" s="30">
        <v>14.396000000000001</v>
      </c>
      <c r="O154" s="30">
        <v>8.7100000000000009</v>
      </c>
      <c r="P154" s="208">
        <v>29.853000000000002</v>
      </c>
      <c r="Q154" s="30">
        <v>10.475</v>
      </c>
      <c r="R154" s="30">
        <v>15.678000000000001</v>
      </c>
      <c r="S154" s="30">
        <v>-1.236</v>
      </c>
      <c r="T154" s="30">
        <v>-12.781000000000001</v>
      </c>
      <c r="U154" s="208">
        <v>12.135999999999999</v>
      </c>
      <c r="V154" s="30">
        <v>7.9020000000000001</v>
      </c>
      <c r="W154" s="40">
        <v>0.98899999999999999</v>
      </c>
    </row>
    <row r="155" spans="1:23" ht="15" customHeight="1">
      <c r="A155" s="192" t="s">
        <v>155</v>
      </c>
      <c r="B155" s="208">
        <v>46.927</v>
      </c>
      <c r="C155" s="208">
        <v>66.120999999999995</v>
      </c>
      <c r="D155" s="208">
        <v>57.774000000000001</v>
      </c>
      <c r="E155" s="208">
        <v>105.53400000000001</v>
      </c>
      <c r="F155" s="208">
        <v>48.5</v>
      </c>
      <c r="G155" s="30">
        <v>-0.57699999999999996</v>
      </c>
      <c r="H155" s="30">
        <v>3.871</v>
      </c>
      <c r="I155" s="30">
        <v>-13.015000000000001</v>
      </c>
      <c r="J155" s="30">
        <v>26.219000000000001</v>
      </c>
      <c r="K155" s="208">
        <v>16.498000000000001</v>
      </c>
      <c r="L155" s="30">
        <v>28.884</v>
      </c>
      <c r="M155" s="30">
        <v>16.812000000000001</v>
      </c>
      <c r="N155" s="30">
        <v>48.845999999999997</v>
      </c>
      <c r="O155" s="30">
        <v>62.615000000000002</v>
      </c>
      <c r="P155" s="208">
        <v>157.15700000000001</v>
      </c>
      <c r="Q155" s="30">
        <v>60.378</v>
      </c>
      <c r="R155" s="30">
        <v>18.172000000000001</v>
      </c>
      <c r="S155" s="30">
        <v>34.631</v>
      </c>
      <c r="T155" s="30">
        <v>95.897999999999996</v>
      </c>
      <c r="U155" s="208">
        <v>209.07900000000001</v>
      </c>
      <c r="V155" s="30">
        <v>40.662999999999997</v>
      </c>
      <c r="W155" s="40">
        <v>55.634</v>
      </c>
    </row>
    <row r="156" spans="1:23" ht="15" customHeight="1">
      <c r="A156" s="188" t="s">
        <v>156</v>
      </c>
      <c r="B156" s="196"/>
      <c r="C156" s="196"/>
      <c r="D156" s="196"/>
      <c r="E156" s="196"/>
      <c r="F156" s="196"/>
      <c r="G156" s="30"/>
      <c r="H156" s="30"/>
      <c r="I156" s="30"/>
      <c r="J156" s="30"/>
      <c r="K156" s="196"/>
      <c r="L156" s="30"/>
      <c r="M156" s="30"/>
      <c r="N156" s="30"/>
      <c r="O156" s="30"/>
      <c r="P156" s="196"/>
      <c r="Q156" s="30"/>
      <c r="R156" s="30"/>
      <c r="S156" s="30"/>
      <c r="T156" s="30"/>
      <c r="U156" s="196"/>
      <c r="V156" s="30"/>
    </row>
    <row r="157" spans="1:23" ht="15" customHeight="1">
      <c r="A157" s="190" t="s">
        <v>157</v>
      </c>
      <c r="B157" s="208">
        <v>-24.399000000000001</v>
      </c>
      <c r="C157" s="208">
        <v>-42.804000000000002</v>
      </c>
      <c r="D157" s="208">
        <v>-42.478999999999999</v>
      </c>
      <c r="E157" s="208">
        <v>-52.573999999999998</v>
      </c>
      <c r="F157" s="208">
        <v>-56.332000000000001</v>
      </c>
      <c r="G157" s="30">
        <v>-15.106</v>
      </c>
      <c r="H157" s="30">
        <v>-19.597000000000001</v>
      </c>
      <c r="I157" s="30">
        <v>-17.533000000000001</v>
      </c>
      <c r="J157" s="30">
        <v>-16.614999999999998</v>
      </c>
      <c r="K157" s="208">
        <v>-68.850999999999999</v>
      </c>
      <c r="L157" s="30">
        <v>-31.663</v>
      </c>
      <c r="M157" s="30">
        <v>-28.736000000000001</v>
      </c>
      <c r="N157" s="30">
        <v>-18.646999999999998</v>
      </c>
      <c r="O157" s="30">
        <v>-18.763999999999999</v>
      </c>
      <c r="P157" s="208">
        <v>-97.81</v>
      </c>
      <c r="Q157" s="30">
        <v>-26.783000000000001</v>
      </c>
      <c r="R157" s="30">
        <v>-28.734999999999999</v>
      </c>
      <c r="S157" s="30">
        <v>-14.891999999999999</v>
      </c>
      <c r="T157" s="30">
        <v>-17.52</v>
      </c>
      <c r="U157" s="208">
        <v>-87.93</v>
      </c>
      <c r="V157" s="30">
        <v>-26.832000000000001</v>
      </c>
      <c r="W157" s="40">
        <v>-41.393999999999998</v>
      </c>
    </row>
    <row r="158" spans="1:23" ht="15" customHeight="1">
      <c r="A158" s="191" t="s">
        <v>158</v>
      </c>
      <c r="B158" s="208">
        <v>-24.399000000000001</v>
      </c>
      <c r="C158" s="208">
        <v>-42.804000000000002</v>
      </c>
      <c r="D158" s="208">
        <v>-42.478999999999999</v>
      </c>
      <c r="E158" s="208">
        <v>-52.573999999999998</v>
      </c>
      <c r="F158" s="208">
        <v>-56.332000000000001</v>
      </c>
      <c r="G158" s="30">
        <v>-15.106</v>
      </c>
      <c r="H158" s="30">
        <v>-19.597000000000001</v>
      </c>
      <c r="I158" s="30">
        <v>-17.533000000000001</v>
      </c>
      <c r="J158" s="30">
        <v>-16.614999999999998</v>
      </c>
      <c r="K158" s="208">
        <v>-68.850999999999999</v>
      </c>
      <c r="L158" s="30">
        <v>-31.663</v>
      </c>
      <c r="M158" s="30">
        <v>-28.736000000000001</v>
      </c>
      <c r="N158" s="30">
        <v>-18.646999999999998</v>
      </c>
      <c r="O158" s="30">
        <v>-18.763999999999999</v>
      </c>
      <c r="P158" s="208">
        <v>-97.81</v>
      </c>
      <c r="Q158" s="30">
        <v>-26.783000000000001</v>
      </c>
      <c r="R158" s="30">
        <v>-28.734999999999999</v>
      </c>
      <c r="S158" s="30">
        <v>-14.891999999999999</v>
      </c>
      <c r="T158" s="30">
        <v>-17.52</v>
      </c>
      <c r="U158" s="208">
        <v>-87.93</v>
      </c>
      <c r="V158" s="30">
        <v>-26.832000000000001</v>
      </c>
      <c r="W158" s="40">
        <v>-41.393999999999998</v>
      </c>
    </row>
    <row r="159" spans="1:23" ht="15" customHeight="1">
      <c r="A159" s="192" t="s">
        <v>159</v>
      </c>
      <c r="B159" s="208">
        <v>-10.843</v>
      </c>
      <c r="C159" s="208">
        <v>-51.319000000000003</v>
      </c>
      <c r="D159" s="208">
        <v>-24.702000000000002</v>
      </c>
      <c r="E159" s="208">
        <v>-30.190999999999999</v>
      </c>
      <c r="F159" s="208">
        <v>-210.73400000000001</v>
      </c>
      <c r="G159" s="30">
        <v>-65.900999999999996</v>
      </c>
      <c r="H159" s="30">
        <v>-36.991999999999997</v>
      </c>
      <c r="I159" s="30">
        <v>0</v>
      </c>
      <c r="J159" s="30">
        <v>-25.675000000000001</v>
      </c>
      <c r="K159" s="208">
        <v>-128.56800000000001</v>
      </c>
      <c r="L159" s="30">
        <v>-77.206000000000003</v>
      </c>
      <c r="M159" s="30">
        <v>-0.63600000000000001</v>
      </c>
      <c r="N159" s="30">
        <v>-4.8979999999999997</v>
      </c>
      <c r="O159" s="30">
        <v>-9.0470000000000006</v>
      </c>
      <c r="P159" s="208">
        <v>-91.787000000000006</v>
      </c>
      <c r="Q159" s="30">
        <v>-81.350999999999999</v>
      </c>
      <c r="R159" s="30">
        <v>-6.4989999999999997</v>
      </c>
      <c r="S159" s="30">
        <v>-47.369</v>
      </c>
      <c r="T159" s="30">
        <v>-96.558000000000007</v>
      </c>
      <c r="U159" s="208">
        <v>-231.77699999999999</v>
      </c>
      <c r="V159" s="30">
        <v>-654.20000000000005</v>
      </c>
      <c r="W159" s="40">
        <v>-174.536</v>
      </c>
    </row>
    <row r="160" spans="1:23" ht="15" customHeight="1">
      <c r="A160" s="192" t="s">
        <v>160</v>
      </c>
      <c r="B160" s="208">
        <v>4.556</v>
      </c>
      <c r="C160" s="208">
        <v>4.931</v>
      </c>
      <c r="D160" s="208">
        <v>4.4560000000000004</v>
      </c>
      <c r="E160" s="208">
        <v>3.0409999999999999</v>
      </c>
      <c r="F160" s="208">
        <v>3.6539999999999999</v>
      </c>
      <c r="G160" s="30">
        <v>0.73299999999999998</v>
      </c>
      <c r="H160" s="30">
        <v>3.044</v>
      </c>
      <c r="I160" s="30">
        <v>0.40699999999999997</v>
      </c>
      <c r="J160" s="30">
        <v>3.3410000000000002</v>
      </c>
      <c r="K160" s="208">
        <v>7.5250000000000004</v>
      </c>
      <c r="L160" s="30">
        <v>38.029000000000003</v>
      </c>
      <c r="M160" s="30">
        <v>7.2590000000000003</v>
      </c>
      <c r="N160" s="30">
        <v>4.3390000000000004</v>
      </c>
      <c r="O160" s="30">
        <v>5.0579999999999998</v>
      </c>
      <c r="P160" s="208">
        <v>54.685000000000002</v>
      </c>
      <c r="Q160" s="30">
        <v>2.46</v>
      </c>
      <c r="R160" s="30">
        <v>2.5019999999999998</v>
      </c>
      <c r="S160" s="30">
        <v>3.085</v>
      </c>
      <c r="T160" s="30">
        <v>6.0119999999999996</v>
      </c>
      <c r="U160" s="208">
        <v>14.058999999999999</v>
      </c>
      <c r="V160" s="30">
        <v>1.843</v>
      </c>
      <c r="W160" s="40">
        <v>4.1479999999999997</v>
      </c>
    </row>
    <row r="161" spans="1:23" ht="15" customHeight="1">
      <c r="A161" s="190" t="s">
        <v>161</v>
      </c>
      <c r="B161" s="208">
        <v>0</v>
      </c>
      <c r="C161" s="208">
        <v>-0.4</v>
      </c>
      <c r="D161" s="208">
        <v>0</v>
      </c>
      <c r="E161" s="208">
        <v>0</v>
      </c>
      <c r="F161" s="208">
        <v>0</v>
      </c>
      <c r="G161" s="30">
        <v>0</v>
      </c>
      <c r="H161" s="30">
        <v>-6.3579999999999997</v>
      </c>
      <c r="I161" s="30">
        <v>-1.304</v>
      </c>
      <c r="J161" s="30">
        <v>0.23</v>
      </c>
      <c r="K161" s="208">
        <v>-7.4320000000000004</v>
      </c>
      <c r="L161" s="30">
        <v>0.17</v>
      </c>
      <c r="M161" s="30">
        <v>-4.452</v>
      </c>
      <c r="N161" s="30">
        <v>-2.1970000000000001</v>
      </c>
      <c r="O161" s="30">
        <v>-1.9810000000000001</v>
      </c>
      <c r="P161" s="208">
        <v>-8.4600000000000009</v>
      </c>
      <c r="Q161" s="30">
        <v>1.0129999999999999</v>
      </c>
      <c r="R161" s="30">
        <v>-0.96499999999999997</v>
      </c>
      <c r="S161" s="30">
        <v>-1.5640000000000001</v>
      </c>
      <c r="T161" s="30">
        <v>-0.42099999999999999</v>
      </c>
      <c r="U161" s="208">
        <v>-1.9370000000000001</v>
      </c>
      <c r="V161" s="30">
        <v>0.159</v>
      </c>
      <c r="W161" s="40">
        <v>-2.4209999999999998</v>
      </c>
    </row>
    <row r="162" spans="1:23" ht="15" customHeight="1">
      <c r="A162" s="191" t="s">
        <v>162</v>
      </c>
      <c r="B162" s="208">
        <v>0</v>
      </c>
      <c r="C162" s="208">
        <v>0.4</v>
      </c>
      <c r="D162" s="208">
        <v>0</v>
      </c>
      <c r="E162" s="208">
        <v>0</v>
      </c>
      <c r="F162" s="208">
        <v>0</v>
      </c>
      <c r="G162" s="30">
        <v>0</v>
      </c>
      <c r="H162" s="30">
        <v>6.3579999999999997</v>
      </c>
      <c r="I162" s="30">
        <v>1.304</v>
      </c>
      <c r="J162" s="30">
        <v>-0.23</v>
      </c>
      <c r="K162" s="208">
        <v>7.4320000000000004</v>
      </c>
      <c r="L162" s="30">
        <v>0</v>
      </c>
      <c r="M162" s="30">
        <v>5.1479999999999997</v>
      </c>
      <c r="N162" s="30">
        <v>2.734</v>
      </c>
      <c r="O162" s="30">
        <v>3.4780000000000002</v>
      </c>
      <c r="P162" s="208">
        <v>11.36</v>
      </c>
      <c r="Q162" s="30">
        <v>0</v>
      </c>
      <c r="R162" s="30">
        <v>1.87</v>
      </c>
      <c r="S162" s="30">
        <v>2.5059999999999998</v>
      </c>
      <c r="T162" s="30">
        <v>1.1140000000000001</v>
      </c>
      <c r="U162" s="208">
        <v>5.49</v>
      </c>
      <c r="V162" s="30">
        <v>2.258</v>
      </c>
      <c r="W162" s="40">
        <v>3.944</v>
      </c>
    </row>
    <row r="163" spans="1:23" ht="15" customHeight="1">
      <c r="A163" s="191" t="s">
        <v>163</v>
      </c>
      <c r="B163" s="208">
        <v>0</v>
      </c>
      <c r="C163" s="208">
        <v>0</v>
      </c>
      <c r="D163" s="208">
        <v>0</v>
      </c>
      <c r="E163" s="208">
        <v>0</v>
      </c>
      <c r="F163" s="208">
        <v>0</v>
      </c>
      <c r="G163" s="30">
        <v>0</v>
      </c>
      <c r="H163" s="30">
        <v>0</v>
      </c>
      <c r="I163" s="30">
        <v>0</v>
      </c>
      <c r="J163" s="30">
        <v>0</v>
      </c>
      <c r="K163" s="208">
        <v>0</v>
      </c>
      <c r="L163" s="30">
        <v>0.17</v>
      </c>
      <c r="M163" s="30">
        <v>0.69599999999999995</v>
      </c>
      <c r="N163" s="30">
        <v>0.53700000000000003</v>
      </c>
      <c r="O163" s="30">
        <v>1.4970000000000001</v>
      </c>
      <c r="P163" s="208">
        <v>2.9</v>
      </c>
      <c r="Q163" s="30">
        <v>1.0129999999999999</v>
      </c>
      <c r="R163" s="30">
        <v>0.90500000000000003</v>
      </c>
      <c r="S163" s="30">
        <v>0.94199999999999995</v>
      </c>
      <c r="T163" s="30">
        <v>0.69299999999999995</v>
      </c>
      <c r="U163" s="208">
        <v>3.5529999999999999</v>
      </c>
      <c r="V163" s="30">
        <v>2.4169999999999998</v>
      </c>
      <c r="W163" s="40">
        <v>1.5229999999999999</v>
      </c>
    </row>
    <row r="164" spans="1:23" ht="15" customHeight="1">
      <c r="A164" s="192" t="s">
        <v>164</v>
      </c>
      <c r="B164" s="208">
        <v>-30.686</v>
      </c>
      <c r="C164" s="208">
        <v>-89.591999999999999</v>
      </c>
      <c r="D164" s="208">
        <v>-62.725000000000001</v>
      </c>
      <c r="E164" s="208">
        <v>-79.724000000000004</v>
      </c>
      <c r="F164" s="208">
        <v>-263.41199999999998</v>
      </c>
      <c r="G164" s="30">
        <v>-80.274000000000001</v>
      </c>
      <c r="H164" s="30">
        <v>-59.902999999999999</v>
      </c>
      <c r="I164" s="30">
        <v>-18.43</v>
      </c>
      <c r="J164" s="30">
        <v>-38.719000000000001</v>
      </c>
      <c r="K164" s="208">
        <v>-197.32599999999999</v>
      </c>
      <c r="L164" s="30">
        <v>-70.67</v>
      </c>
      <c r="M164" s="30">
        <v>-26.565000000000001</v>
      </c>
      <c r="N164" s="30">
        <v>-21.402999999999999</v>
      </c>
      <c r="O164" s="30">
        <v>-24.734000000000002</v>
      </c>
      <c r="P164" s="208">
        <v>-143.37200000000001</v>
      </c>
      <c r="Q164" s="30">
        <v>-104.661</v>
      </c>
      <c r="R164" s="30">
        <v>-33.697000000000003</v>
      </c>
      <c r="S164" s="30">
        <v>-60.74</v>
      </c>
      <c r="T164" s="30">
        <v>-108.48699999999999</v>
      </c>
      <c r="U164" s="208">
        <v>-307.58499999999998</v>
      </c>
      <c r="V164" s="30">
        <v>-679.03</v>
      </c>
      <c r="W164" s="40">
        <v>-214.203</v>
      </c>
    </row>
    <row r="165" spans="1:23" ht="15" customHeight="1">
      <c r="A165" s="188" t="s">
        <v>165</v>
      </c>
      <c r="B165" s="196"/>
      <c r="C165" s="196"/>
      <c r="D165" s="196"/>
      <c r="E165" s="196"/>
      <c r="F165" s="196"/>
      <c r="G165" s="30"/>
      <c r="H165" s="30"/>
      <c r="I165" s="30"/>
      <c r="J165" s="30"/>
      <c r="K165" s="196"/>
      <c r="L165" s="30"/>
      <c r="M165" s="30"/>
      <c r="N165" s="30"/>
      <c r="O165" s="30"/>
      <c r="P165" s="196"/>
      <c r="Q165" s="30"/>
      <c r="R165" s="30"/>
      <c r="S165" s="30"/>
      <c r="T165" s="30"/>
      <c r="U165" s="196"/>
      <c r="V165" s="30"/>
    </row>
    <row r="166" spans="1:23" ht="15" customHeight="1">
      <c r="A166" s="190" t="s">
        <v>166</v>
      </c>
      <c r="B166" s="208">
        <v>-31.292999999999999</v>
      </c>
      <c r="C166" s="208">
        <v>0</v>
      </c>
      <c r="D166" s="208">
        <v>0</v>
      </c>
      <c r="E166" s="208">
        <v>0</v>
      </c>
      <c r="F166" s="208">
        <v>0</v>
      </c>
      <c r="K166" s="208">
        <v>0</v>
      </c>
      <c r="P166" s="208">
        <v>0</v>
      </c>
      <c r="U166" s="208">
        <v>0</v>
      </c>
    </row>
    <row r="167" spans="1:23" ht="15" customHeight="1">
      <c r="A167" s="191" t="s">
        <v>167</v>
      </c>
      <c r="B167" s="208">
        <v>-31.292999999999999</v>
      </c>
      <c r="C167" s="208">
        <v>0</v>
      </c>
      <c r="D167" s="208">
        <v>0</v>
      </c>
      <c r="E167" s="208">
        <v>0</v>
      </c>
      <c r="F167" s="208">
        <v>0</v>
      </c>
      <c r="K167" s="208">
        <v>0</v>
      </c>
      <c r="P167" s="208">
        <v>0</v>
      </c>
      <c r="U167" s="208">
        <v>0</v>
      </c>
    </row>
    <row r="168" spans="1:23" ht="15" customHeight="1">
      <c r="A168" s="190" t="s">
        <v>168</v>
      </c>
      <c r="B168" s="208">
        <v>0</v>
      </c>
      <c r="C168" s="208">
        <v>98.013999999999996</v>
      </c>
      <c r="D168" s="208">
        <v>3.0000000000000001E-3</v>
      </c>
      <c r="E168" s="208">
        <v>0</v>
      </c>
      <c r="F168" s="208">
        <v>0</v>
      </c>
      <c r="G168" s="30">
        <v>-3.9E-2</v>
      </c>
      <c r="H168" s="30">
        <v>0</v>
      </c>
      <c r="I168" s="30">
        <v>0</v>
      </c>
      <c r="J168" s="30">
        <v>0</v>
      </c>
      <c r="K168" s="208">
        <v>-3.9E-2</v>
      </c>
      <c r="L168" s="30">
        <v>-0.13900000000000001</v>
      </c>
      <c r="M168" s="30">
        <v>0</v>
      </c>
      <c r="N168" s="30">
        <v>0</v>
      </c>
      <c r="O168" s="30">
        <v>0</v>
      </c>
      <c r="P168" s="208">
        <v>-0.13900000000000001</v>
      </c>
      <c r="Q168" s="30">
        <v>-1.3360000000000001</v>
      </c>
      <c r="R168" s="30">
        <v>0</v>
      </c>
      <c r="S168" s="30">
        <v>-5.2690000000000001</v>
      </c>
      <c r="T168" s="30">
        <v>-4.7069999999999999</v>
      </c>
      <c r="U168" s="208">
        <v>-11.311999999999999</v>
      </c>
      <c r="V168" s="30">
        <v>-12.081</v>
      </c>
      <c r="W168" s="40">
        <v>-8.048</v>
      </c>
    </row>
    <row r="169" spans="1:23" ht="15" customHeight="1">
      <c r="A169" s="191" t="s">
        <v>169</v>
      </c>
      <c r="B169" s="208">
        <v>0</v>
      </c>
      <c r="C169" s="208">
        <v>0</v>
      </c>
      <c r="D169" s="208">
        <v>0</v>
      </c>
      <c r="E169" s="208">
        <v>0</v>
      </c>
      <c r="F169" s="208">
        <v>0</v>
      </c>
      <c r="G169" s="30">
        <v>-3.9E-2</v>
      </c>
      <c r="H169" s="30">
        <v>0</v>
      </c>
      <c r="I169" s="30">
        <v>0</v>
      </c>
      <c r="J169" s="30">
        <v>0</v>
      </c>
      <c r="K169" s="208">
        <v>-3.9E-2</v>
      </c>
      <c r="L169" s="30">
        <v>-0.13900000000000001</v>
      </c>
      <c r="M169" s="30">
        <v>0</v>
      </c>
      <c r="N169" s="30">
        <v>0</v>
      </c>
      <c r="O169" s="30">
        <v>0</v>
      </c>
      <c r="P169" s="208">
        <v>-0.13900000000000001</v>
      </c>
      <c r="Q169" s="30">
        <v>-1.3360000000000001</v>
      </c>
      <c r="R169" s="30">
        <v>0</v>
      </c>
      <c r="S169" s="30">
        <v>-5.2690000000000001</v>
      </c>
      <c r="T169" s="30">
        <v>-4.7069999999999999</v>
      </c>
      <c r="U169" s="208">
        <v>-11.311999999999999</v>
      </c>
      <c r="V169" s="30">
        <v>-12.081</v>
      </c>
      <c r="W169" s="40">
        <v>-8.048</v>
      </c>
    </row>
    <row r="170" spans="1:23" ht="15" customHeight="1">
      <c r="A170" s="193" t="s">
        <v>170</v>
      </c>
      <c r="B170" s="208">
        <v>0</v>
      </c>
      <c r="C170" s="208">
        <v>98.013999999999996</v>
      </c>
      <c r="D170" s="208">
        <v>3.0000000000000001E-3</v>
      </c>
      <c r="E170" s="208">
        <v>0</v>
      </c>
      <c r="F170" s="208">
        <v>0</v>
      </c>
      <c r="K170" s="208">
        <v>0</v>
      </c>
      <c r="P170" s="208">
        <v>0</v>
      </c>
      <c r="U170" s="208">
        <v>0</v>
      </c>
    </row>
    <row r="171" spans="1:23" ht="15" customHeight="1">
      <c r="A171" s="194" t="s">
        <v>171</v>
      </c>
      <c r="B171" s="208">
        <v>0</v>
      </c>
      <c r="C171" s="208">
        <v>98.013999999999996</v>
      </c>
      <c r="D171" s="208">
        <v>3.0000000000000001E-3</v>
      </c>
      <c r="E171" s="208">
        <v>0</v>
      </c>
      <c r="F171" s="208">
        <v>0</v>
      </c>
      <c r="K171" s="208">
        <v>0</v>
      </c>
      <c r="P171" s="208">
        <v>0</v>
      </c>
      <c r="U171" s="208">
        <v>0</v>
      </c>
    </row>
    <row r="172" spans="1:23" ht="15" customHeight="1">
      <c r="A172" s="190" t="s">
        <v>172</v>
      </c>
      <c r="B172" s="208">
        <v>-6.1239999999999997</v>
      </c>
      <c r="C172" s="208">
        <v>4.556</v>
      </c>
      <c r="D172" s="208">
        <v>-13.000999999999999</v>
      </c>
      <c r="E172" s="208">
        <v>41.887</v>
      </c>
      <c r="F172" s="208">
        <v>123.84699999999999</v>
      </c>
      <c r="G172" s="30">
        <v>67.5</v>
      </c>
      <c r="H172" s="30">
        <v>43.5</v>
      </c>
      <c r="I172" s="30">
        <v>26.3</v>
      </c>
      <c r="J172" s="30">
        <v>21.875</v>
      </c>
      <c r="K172" s="208">
        <v>159.17500000000001</v>
      </c>
      <c r="L172" s="30">
        <v>49.875</v>
      </c>
      <c r="M172" s="30">
        <v>-3.125</v>
      </c>
      <c r="N172" s="30">
        <v>-3.125</v>
      </c>
      <c r="O172" s="30">
        <v>-43.75</v>
      </c>
      <c r="P172" s="208">
        <v>-0.125</v>
      </c>
      <c r="Q172" s="30">
        <v>66.25</v>
      </c>
      <c r="R172" s="30">
        <v>-3.75</v>
      </c>
      <c r="S172" s="30">
        <v>39.384999999999998</v>
      </c>
      <c r="T172" s="30">
        <v>35.536999999999999</v>
      </c>
      <c r="U172" s="208">
        <v>137.422</v>
      </c>
      <c r="V172" s="30">
        <v>706.83199999999999</v>
      </c>
      <c r="W172" s="40">
        <v>137.13300000000001</v>
      </c>
    </row>
    <row r="173" spans="1:23" ht="15" customHeight="1">
      <c r="A173" s="191" t="s">
        <v>173</v>
      </c>
      <c r="B173" s="208">
        <v>4.899</v>
      </c>
      <c r="C173" s="208">
        <v>-5</v>
      </c>
      <c r="D173" s="208">
        <v>0</v>
      </c>
      <c r="E173" s="208">
        <v>0</v>
      </c>
      <c r="F173" s="208">
        <v>0</v>
      </c>
      <c r="K173" s="208">
        <v>0</v>
      </c>
      <c r="P173" s="208">
        <v>0</v>
      </c>
      <c r="U173" s="208">
        <v>0</v>
      </c>
    </row>
    <row r="174" spans="1:23" ht="15" customHeight="1">
      <c r="A174" s="193" t="s">
        <v>174</v>
      </c>
      <c r="B174" s="208">
        <v>-11.023</v>
      </c>
      <c r="C174" s="208">
        <v>9.5559999999999992</v>
      </c>
      <c r="D174" s="208">
        <v>-13.000999999999999</v>
      </c>
      <c r="E174" s="208">
        <v>41.887</v>
      </c>
      <c r="F174" s="208">
        <v>123.84699999999999</v>
      </c>
      <c r="G174" s="30">
        <v>67.5</v>
      </c>
      <c r="H174" s="30">
        <v>43.5</v>
      </c>
      <c r="I174" s="30">
        <v>26.3</v>
      </c>
      <c r="J174" s="30">
        <v>21.875</v>
      </c>
      <c r="K174" s="208">
        <v>159.17500000000001</v>
      </c>
      <c r="L174" s="30">
        <v>49.875</v>
      </c>
      <c r="M174" s="30">
        <v>-3.125</v>
      </c>
      <c r="N174" s="30">
        <v>-3.125</v>
      </c>
      <c r="O174" s="30">
        <v>-43.75</v>
      </c>
      <c r="P174" s="208">
        <v>-0.125</v>
      </c>
      <c r="Q174" s="30">
        <v>66.25</v>
      </c>
      <c r="R174" s="30">
        <v>-3.75</v>
      </c>
      <c r="S174" s="30">
        <v>39.384999999999998</v>
      </c>
      <c r="T174" s="30">
        <v>35.536999999999999</v>
      </c>
      <c r="U174" s="208">
        <v>137.422</v>
      </c>
      <c r="V174" s="30">
        <v>706.83199999999999</v>
      </c>
      <c r="W174" s="40">
        <v>137.13300000000001</v>
      </c>
    </row>
    <row r="175" spans="1:23" ht="15" customHeight="1">
      <c r="A175" s="194" t="s">
        <v>175</v>
      </c>
      <c r="B175" s="207">
        <v>49.616999999999997</v>
      </c>
      <c r="C175" s="207">
        <v>21.917000000000002</v>
      </c>
      <c r="D175" s="207">
        <v>0</v>
      </c>
      <c r="E175" s="207">
        <v>72.299000000000007</v>
      </c>
      <c r="F175" s="207">
        <v>219.197</v>
      </c>
      <c r="G175" s="30">
        <v>70</v>
      </c>
      <c r="H175" s="30">
        <v>46</v>
      </c>
      <c r="I175" s="30">
        <v>26.3</v>
      </c>
      <c r="J175" s="30">
        <v>25</v>
      </c>
      <c r="K175" s="207">
        <v>167.3</v>
      </c>
      <c r="L175" s="30">
        <v>53</v>
      </c>
      <c r="M175" s="30">
        <v>0</v>
      </c>
      <c r="N175" s="30">
        <v>0</v>
      </c>
      <c r="O175" s="30">
        <v>50</v>
      </c>
      <c r="P175" s="207">
        <v>103</v>
      </c>
      <c r="Q175" s="30">
        <v>90</v>
      </c>
      <c r="R175" s="30">
        <v>0</v>
      </c>
      <c r="S175" s="30">
        <v>59.384999999999998</v>
      </c>
      <c r="T175" s="30">
        <v>60.85</v>
      </c>
      <c r="U175" s="207">
        <v>210.23500000000001</v>
      </c>
      <c r="V175" s="30">
        <v>834.995</v>
      </c>
      <c r="W175" s="40">
        <v>144.571</v>
      </c>
    </row>
    <row r="176" spans="1:23" ht="15" customHeight="1">
      <c r="A176" s="194" t="s">
        <v>176</v>
      </c>
      <c r="B176" s="207">
        <v>-60.64</v>
      </c>
      <c r="C176" s="207">
        <v>-12.361000000000001</v>
      </c>
      <c r="D176" s="207">
        <v>-13.000999999999999</v>
      </c>
      <c r="E176" s="207">
        <v>-30.411999999999999</v>
      </c>
      <c r="F176" s="207">
        <v>-95.35</v>
      </c>
      <c r="G176" s="30">
        <v>-2.5</v>
      </c>
      <c r="H176" s="30">
        <v>-2.5</v>
      </c>
      <c r="I176" s="30">
        <v>0</v>
      </c>
      <c r="J176" s="30">
        <v>-3.125</v>
      </c>
      <c r="K176" s="207">
        <v>-8.125</v>
      </c>
      <c r="L176" s="30">
        <v>-3.125</v>
      </c>
      <c r="M176" s="30">
        <v>-3.125</v>
      </c>
      <c r="N176" s="30">
        <v>-3.125</v>
      </c>
      <c r="O176" s="30">
        <v>-93.75</v>
      </c>
      <c r="P176" s="207">
        <v>-103.125</v>
      </c>
      <c r="Q176" s="30">
        <v>-23.75</v>
      </c>
      <c r="R176" s="30">
        <v>-3.75</v>
      </c>
      <c r="S176" s="30">
        <v>-20</v>
      </c>
      <c r="T176" s="30">
        <v>-25.312999999999999</v>
      </c>
      <c r="U176" s="207">
        <v>-72.813000000000002</v>
      </c>
      <c r="V176" s="30">
        <v>-128.16300000000001</v>
      </c>
      <c r="W176" s="40">
        <v>-7.4379999999999997</v>
      </c>
    </row>
    <row r="177" spans="1:34" ht="15" customHeight="1">
      <c r="A177" s="190" t="s">
        <v>148</v>
      </c>
      <c r="B177" s="207">
        <v>-2.3620000000000001</v>
      </c>
      <c r="C177" s="207">
        <v>-7.5090000000000003</v>
      </c>
      <c r="D177" s="207">
        <v>-0.56899999999999995</v>
      </c>
      <c r="E177" s="207">
        <v>0</v>
      </c>
      <c r="F177" s="207">
        <v>0</v>
      </c>
      <c r="K177" s="207">
        <v>0</v>
      </c>
      <c r="P177" s="207">
        <v>0</v>
      </c>
      <c r="U177" s="207">
        <v>0</v>
      </c>
    </row>
    <row r="178" spans="1:34" ht="15" customHeight="1">
      <c r="A178" s="191" t="s">
        <v>177</v>
      </c>
      <c r="B178" s="207">
        <v>-3</v>
      </c>
      <c r="C178" s="207">
        <v>-7.5090000000000003</v>
      </c>
      <c r="D178" s="207">
        <v>-0.56899999999999995</v>
      </c>
      <c r="E178" s="207">
        <v>0</v>
      </c>
      <c r="F178" s="207">
        <v>0</v>
      </c>
      <c r="K178" s="207">
        <v>0</v>
      </c>
      <c r="P178" s="207">
        <v>0</v>
      </c>
      <c r="U178" s="207">
        <v>0</v>
      </c>
    </row>
    <row r="179" spans="1:34" ht="15" customHeight="1">
      <c r="A179" s="191" t="s">
        <v>178</v>
      </c>
      <c r="B179" s="207">
        <v>0.63800000000000001</v>
      </c>
      <c r="C179" s="207">
        <v>0</v>
      </c>
      <c r="D179" s="207">
        <v>0</v>
      </c>
      <c r="E179" s="207">
        <v>0</v>
      </c>
      <c r="F179" s="207">
        <v>0</v>
      </c>
      <c r="K179" s="207">
        <v>0</v>
      </c>
      <c r="P179" s="207">
        <v>0</v>
      </c>
      <c r="U179" s="207">
        <v>0</v>
      </c>
    </row>
    <row r="180" spans="1:34" ht="15" customHeight="1">
      <c r="A180" s="192" t="s">
        <v>179</v>
      </c>
      <c r="B180" s="207">
        <v>-39.779000000000003</v>
      </c>
      <c r="C180" s="207">
        <v>95.061000000000007</v>
      </c>
      <c r="D180" s="207">
        <v>-13.567</v>
      </c>
      <c r="E180" s="207">
        <v>41.887</v>
      </c>
      <c r="F180" s="207">
        <v>123.84699999999999</v>
      </c>
      <c r="G180" s="30">
        <v>67.460999999999999</v>
      </c>
      <c r="H180" s="30">
        <v>43.5</v>
      </c>
      <c r="I180" s="30">
        <v>26.3</v>
      </c>
      <c r="J180" s="30">
        <v>21.875</v>
      </c>
      <c r="K180" s="207">
        <v>159.136</v>
      </c>
      <c r="L180" s="30">
        <v>49.735999999999997</v>
      </c>
      <c r="M180" s="30">
        <v>-3.125</v>
      </c>
      <c r="N180" s="30">
        <v>-3.125</v>
      </c>
      <c r="O180" s="30">
        <v>-43.75</v>
      </c>
      <c r="P180" s="207">
        <v>-0.26400000000000001</v>
      </c>
      <c r="Q180" s="30">
        <v>64.914000000000001</v>
      </c>
      <c r="R180" s="30">
        <v>-3.75</v>
      </c>
      <c r="S180" s="30">
        <v>34.116</v>
      </c>
      <c r="T180" s="30">
        <v>30.83</v>
      </c>
      <c r="U180" s="207">
        <v>126.11</v>
      </c>
      <c r="V180" s="30">
        <v>694.75099999999998</v>
      </c>
      <c r="W180" s="40">
        <v>129.08500000000001</v>
      </c>
    </row>
    <row r="181" spans="1:34" ht="15" customHeight="1">
      <c r="A181" s="188" t="s">
        <v>180</v>
      </c>
      <c r="B181" s="188"/>
      <c r="C181" s="188"/>
      <c r="D181" s="188"/>
      <c r="E181" s="188"/>
      <c r="F181" s="188"/>
      <c r="G181" s="30"/>
      <c r="H181" s="30"/>
      <c r="I181" s="30"/>
      <c r="J181" s="30"/>
      <c r="K181" s="188"/>
      <c r="L181" s="30"/>
      <c r="M181" s="30"/>
      <c r="N181" s="30"/>
      <c r="O181" s="30"/>
      <c r="P181" s="188"/>
      <c r="Q181" s="30"/>
      <c r="R181" s="30"/>
      <c r="S181" s="30"/>
      <c r="T181" s="30"/>
      <c r="U181" s="188"/>
      <c r="V181" s="30"/>
    </row>
    <row r="182" spans="1:34" ht="15" customHeight="1">
      <c r="A182" s="192" t="s">
        <v>181</v>
      </c>
      <c r="B182" s="207">
        <v>-23.538</v>
      </c>
      <c r="C182" s="207">
        <v>71.59</v>
      </c>
      <c r="D182" s="207">
        <v>-18.518000000000001</v>
      </c>
      <c r="E182" s="207">
        <v>67.697000000000003</v>
      </c>
      <c r="F182" s="207">
        <v>-91.064999999999998</v>
      </c>
      <c r="G182" s="30">
        <v>-13.39</v>
      </c>
      <c r="H182" s="30">
        <v>-12.532</v>
      </c>
      <c r="I182" s="30">
        <v>-5.1449999999999996</v>
      </c>
      <c r="J182" s="30">
        <v>9.375</v>
      </c>
      <c r="K182" s="207">
        <v>-21.692</v>
      </c>
      <c r="L182" s="30">
        <v>7.95</v>
      </c>
      <c r="M182" s="30">
        <v>-12.878</v>
      </c>
      <c r="N182" s="30">
        <v>24.318000000000001</v>
      </c>
      <c r="O182" s="30">
        <v>-5.8689999999999998</v>
      </c>
      <c r="P182" s="207">
        <v>13.521000000000001</v>
      </c>
      <c r="Q182" s="30">
        <v>20.631</v>
      </c>
      <c r="R182" s="30">
        <v>-19.274999999999999</v>
      </c>
      <c r="S182" s="30">
        <v>8.0069999999999997</v>
      </c>
      <c r="T182" s="30">
        <v>18.241</v>
      </c>
      <c r="U182" s="207">
        <v>27.603999999999999</v>
      </c>
      <c r="V182" s="30">
        <v>56.384</v>
      </c>
      <c r="W182" s="40">
        <v>-29.484000000000002</v>
      </c>
    </row>
    <row r="183" spans="1:34" ht="15" customHeight="1">
      <c r="P183" s="207"/>
    </row>
    <row r="184" spans="1:34" s="197" customFormat="1" ht="15" customHeight="1">
      <c r="A184" s="199" t="s">
        <v>182</v>
      </c>
      <c r="P184" s="209"/>
      <c r="X184" s="198"/>
      <c r="Y184" s="198"/>
      <c r="Z184" s="198"/>
      <c r="AA184" s="198"/>
      <c r="AB184" s="198"/>
      <c r="AC184" s="198"/>
      <c r="AD184" s="198"/>
      <c r="AE184" s="198"/>
      <c r="AF184" s="198"/>
      <c r="AG184" s="198"/>
      <c r="AH184" s="198"/>
    </row>
    <row r="185" spans="1:34" ht="15" customHeight="1">
      <c r="A185" s="210" t="s">
        <v>183</v>
      </c>
      <c r="B185" s="16">
        <f>B148</f>
        <v>48.752000000000002</v>
      </c>
      <c r="C185" s="16">
        <f t="shared" ref="C185:U185" si="117">C148</f>
        <v>73.653000000000006</v>
      </c>
      <c r="D185" s="16">
        <f t="shared" si="117"/>
        <v>78.664000000000001</v>
      </c>
      <c r="E185" s="16">
        <f t="shared" si="117"/>
        <v>85.93</v>
      </c>
      <c r="F185" s="16">
        <f t="shared" si="117"/>
        <v>73.128</v>
      </c>
      <c r="G185" s="30">
        <f t="shared" si="117"/>
        <v>22.248999999999999</v>
      </c>
      <c r="H185" s="30">
        <f t="shared" si="117"/>
        <v>6.6040000000000001</v>
      </c>
      <c r="I185" s="30">
        <f t="shared" si="117"/>
        <v>29.440999999999999</v>
      </c>
      <c r="J185" s="30">
        <f t="shared" si="117"/>
        <v>38.052999999999997</v>
      </c>
      <c r="K185" s="16">
        <f t="shared" si="117"/>
        <v>96.346999999999994</v>
      </c>
      <c r="L185" s="30">
        <f t="shared" si="117"/>
        <v>17.957999999999998</v>
      </c>
      <c r="M185" s="30">
        <f t="shared" si="117"/>
        <v>15.361000000000001</v>
      </c>
      <c r="N185" s="30">
        <f t="shared" si="117"/>
        <v>42.064</v>
      </c>
      <c r="O185" s="30">
        <f t="shared" si="117"/>
        <v>63.069000000000003</v>
      </c>
      <c r="P185" s="208">
        <f t="shared" si="117"/>
        <v>138.452</v>
      </c>
      <c r="Q185" s="30">
        <f t="shared" si="117"/>
        <v>33.131</v>
      </c>
      <c r="R185" s="30">
        <f t="shared" si="117"/>
        <v>24.102</v>
      </c>
      <c r="S185" s="30">
        <f t="shared" si="117"/>
        <v>57.567999999999998</v>
      </c>
      <c r="T185" s="30">
        <f t="shared" si="117"/>
        <v>80.456999999999994</v>
      </c>
      <c r="U185" s="16">
        <f t="shared" si="117"/>
        <v>195.25800000000001</v>
      </c>
      <c r="V185" s="30">
        <f>V148</f>
        <v>40.445999999999998</v>
      </c>
      <c r="W185" s="30">
        <f>W148</f>
        <v>44.057000000000002</v>
      </c>
      <c r="X185" s="50">
        <f ca="1">X186*X3</f>
        <v>105.14927767176296</v>
      </c>
      <c r="Y185" s="50">
        <f ca="1">Y186*Y3</f>
        <v>143.66802705829298</v>
      </c>
      <c r="Z185" s="51">
        <f ca="1">SUM(V185:Y185)</f>
        <v>333.32030473005591</v>
      </c>
    </row>
    <row r="186" spans="1:34" ht="15" customHeight="1">
      <c r="A186" t="s">
        <v>184</v>
      </c>
      <c r="B186" s="89">
        <f t="shared" ref="B186:V186" si="118">B185/B3</f>
        <v>8.5798962359119491E-2</v>
      </c>
      <c r="C186" s="89">
        <f t="shared" si="118"/>
        <v>0.10829794617230509</v>
      </c>
      <c r="D186" s="89">
        <f t="shared" si="118"/>
        <v>0.10043435073374887</v>
      </c>
      <c r="E186" s="89">
        <f t="shared" si="118"/>
        <v>0.10937036626917609</v>
      </c>
      <c r="F186" s="89">
        <f t="shared" si="118"/>
        <v>8.0295232772506719E-2</v>
      </c>
      <c r="G186" s="57">
        <f t="shared" si="118"/>
        <v>7.8076528965062245E-2</v>
      </c>
      <c r="H186" s="57">
        <f t="shared" si="118"/>
        <v>2.7133964706124045E-2</v>
      </c>
      <c r="I186" s="57">
        <f t="shared" si="118"/>
        <v>7.7420898725123075E-2</v>
      </c>
      <c r="J186" s="57">
        <f t="shared" si="118"/>
        <v>9.6813915680582507E-2</v>
      </c>
      <c r="K186" s="89">
        <f t="shared" si="118"/>
        <v>7.4017764816689896E-2</v>
      </c>
      <c r="L186" s="57">
        <f t="shared" si="118"/>
        <v>5.2542724977251376E-2</v>
      </c>
      <c r="M186" s="57">
        <f t="shared" si="118"/>
        <v>4.7286439895336305E-2</v>
      </c>
      <c r="N186" s="57">
        <f t="shared" si="118"/>
        <v>9.9703005264367983E-2</v>
      </c>
      <c r="O186" s="57">
        <f t="shared" si="118"/>
        <v>0.13276957471801543</v>
      </c>
      <c r="P186" s="89">
        <f t="shared" si="118"/>
        <v>8.8549887819241876E-2</v>
      </c>
      <c r="Q186" s="57">
        <f t="shared" si="118"/>
        <v>8.3557584393639431E-2</v>
      </c>
      <c r="R186" s="57">
        <f t="shared" si="118"/>
        <v>6.4890274535776879E-2</v>
      </c>
      <c r="S186" s="57">
        <f t="shared" si="118"/>
        <v>0.11117934931652355</v>
      </c>
      <c r="T186" s="57">
        <f t="shared" si="118"/>
        <v>0.14950303160938228</v>
      </c>
      <c r="U186" s="89">
        <f t="shared" si="118"/>
        <v>0.10705585701761457</v>
      </c>
      <c r="V186" s="57">
        <f t="shared" si="118"/>
        <v>7.2021795647993159E-2</v>
      </c>
      <c r="W186" s="57">
        <f t="shared" ref="W186" si="119">W185/W3</f>
        <v>7.7069885419399992E-2</v>
      </c>
      <c r="X186" s="84">
        <v>0.12852635554220815</v>
      </c>
      <c r="Y186" s="84">
        <v>0.16685003783506688</v>
      </c>
      <c r="Z186" s="83"/>
    </row>
    <row r="188" spans="1:34" ht="15" customHeight="1">
      <c r="A188" t="s">
        <v>185</v>
      </c>
      <c r="B188" s="16">
        <f>B149</f>
        <v>-1.825</v>
      </c>
      <c r="C188" s="16">
        <f t="shared" ref="C188:V188" si="120">C149</f>
        <v>-7.532</v>
      </c>
      <c r="D188" s="16">
        <f t="shared" si="120"/>
        <v>-20.89</v>
      </c>
      <c r="E188" s="16">
        <f t="shared" si="120"/>
        <v>19.603999999999999</v>
      </c>
      <c r="F188" s="16">
        <f t="shared" si="120"/>
        <v>-24.628</v>
      </c>
      <c r="G188" s="30">
        <f t="shared" si="120"/>
        <v>-22.826000000000001</v>
      </c>
      <c r="H188" s="30">
        <f t="shared" si="120"/>
        <v>-2.7330000000000001</v>
      </c>
      <c r="I188" s="30">
        <f t="shared" si="120"/>
        <v>-42.456000000000003</v>
      </c>
      <c r="J188" s="30">
        <f t="shared" si="120"/>
        <v>-11.834</v>
      </c>
      <c r="K188" s="16">
        <f t="shared" si="120"/>
        <v>-79.849000000000004</v>
      </c>
      <c r="L188" s="30">
        <f t="shared" si="120"/>
        <v>10.926</v>
      </c>
      <c r="M188" s="30">
        <f t="shared" si="120"/>
        <v>1.4510000000000001</v>
      </c>
      <c r="N188" s="30">
        <f t="shared" si="120"/>
        <v>6.782</v>
      </c>
      <c r="O188" s="30">
        <f t="shared" si="120"/>
        <v>-0.45400000000000001</v>
      </c>
      <c r="P188" s="16">
        <f t="shared" si="120"/>
        <v>18.704999999999998</v>
      </c>
      <c r="Q188" s="30">
        <f t="shared" si="120"/>
        <v>27.247</v>
      </c>
      <c r="R188" s="30">
        <f t="shared" si="120"/>
        <v>-5.93</v>
      </c>
      <c r="S188" s="30">
        <f t="shared" si="120"/>
        <v>-22.937000000000001</v>
      </c>
      <c r="T188" s="30">
        <f t="shared" si="120"/>
        <v>15.441000000000001</v>
      </c>
      <c r="U188" s="16">
        <f t="shared" si="120"/>
        <v>13.821</v>
      </c>
      <c r="V188" s="30">
        <f t="shared" si="120"/>
        <v>0.217</v>
      </c>
      <c r="W188" s="30">
        <f t="shared" ref="W188" si="121">W149</f>
        <v>11.577</v>
      </c>
      <c r="X188" s="50">
        <v>2</v>
      </c>
      <c r="Y188" s="50">
        <v>2</v>
      </c>
      <c r="Z188" s="51">
        <f>SUM(V188:Y188)</f>
        <v>15.794</v>
      </c>
    </row>
    <row r="189" spans="1:34" ht="15" customHeight="1">
      <c r="AA189" s="54"/>
      <c r="AB189" s="54"/>
      <c r="AC189" s="54"/>
    </row>
    <row r="190" spans="1:34" ht="15" customHeight="1">
      <c r="P190" s="89">
        <f>P191/P40</f>
        <v>0.91047975482159105</v>
      </c>
      <c r="U190" s="89">
        <f>U191/U40</f>
        <v>0.9478773755984331</v>
      </c>
      <c r="Z190" s="83"/>
    </row>
    <row r="191" spans="1:34" ht="15" customHeight="1">
      <c r="A191" t="s">
        <v>186</v>
      </c>
      <c r="B191" s="211">
        <f>B185+B188</f>
        <v>46.927</v>
      </c>
      <c r="C191" s="211">
        <f t="shared" ref="C191:V191" si="122">C185+C188</f>
        <v>66.121000000000009</v>
      </c>
      <c r="D191" s="211">
        <f t="shared" si="122"/>
        <v>57.774000000000001</v>
      </c>
      <c r="E191" s="211">
        <f t="shared" si="122"/>
        <v>105.53400000000001</v>
      </c>
      <c r="F191" s="211">
        <f t="shared" si="122"/>
        <v>48.5</v>
      </c>
      <c r="G191" s="62">
        <f t="shared" si="122"/>
        <v>-0.57700000000000173</v>
      </c>
      <c r="H191" s="62">
        <f t="shared" si="122"/>
        <v>3.871</v>
      </c>
      <c r="I191" s="62">
        <f t="shared" si="122"/>
        <v>-13.015000000000004</v>
      </c>
      <c r="J191" s="62">
        <f t="shared" si="122"/>
        <v>26.218999999999998</v>
      </c>
      <c r="K191" s="211">
        <f t="shared" si="122"/>
        <v>16.49799999999999</v>
      </c>
      <c r="L191" s="62">
        <f t="shared" si="122"/>
        <v>28.884</v>
      </c>
      <c r="M191" s="62">
        <f t="shared" si="122"/>
        <v>16.812000000000001</v>
      </c>
      <c r="N191" s="62">
        <f t="shared" si="122"/>
        <v>48.846000000000004</v>
      </c>
      <c r="O191" s="62">
        <f t="shared" si="122"/>
        <v>62.615000000000002</v>
      </c>
      <c r="P191" s="211">
        <f t="shared" si="122"/>
        <v>157.15699999999998</v>
      </c>
      <c r="Q191" s="62">
        <f t="shared" si="122"/>
        <v>60.378</v>
      </c>
      <c r="R191" s="62">
        <f t="shared" si="122"/>
        <v>18.172000000000001</v>
      </c>
      <c r="S191" s="62">
        <f t="shared" si="122"/>
        <v>34.631</v>
      </c>
      <c r="T191" s="62">
        <f t="shared" si="122"/>
        <v>95.897999999999996</v>
      </c>
      <c r="U191" s="211">
        <f t="shared" si="122"/>
        <v>209.07900000000001</v>
      </c>
      <c r="V191" s="62">
        <f t="shared" si="122"/>
        <v>40.662999999999997</v>
      </c>
      <c r="W191" s="62">
        <f t="shared" ref="W191" si="123">W185+W188</f>
        <v>55.634</v>
      </c>
      <c r="X191" s="85">
        <f t="shared" ref="X191:Y191" ca="1" si="124">X185+X188</f>
        <v>107.14927767176296</v>
      </c>
      <c r="Y191" s="85">
        <f t="shared" ca="1" si="124"/>
        <v>145.66802705829298</v>
      </c>
      <c r="Z191" s="95">
        <f ca="1">Z185+Z188</f>
        <v>349.11430473005589</v>
      </c>
      <c r="AA191" s="95">
        <f ca="1">AA3*AA192</f>
        <v>409.42434167496015</v>
      </c>
      <c r="AB191" s="95">
        <f ca="1">AB3*AB192</f>
        <v>496.50316015492814</v>
      </c>
      <c r="AC191" s="95">
        <f ca="1">AC3*AC192</f>
        <v>596.22033416297245</v>
      </c>
    </row>
    <row r="192" spans="1:34" ht="15" customHeight="1">
      <c r="A192" t="s">
        <v>184</v>
      </c>
      <c r="B192" s="89">
        <f t="shared" ref="B192:V192" si="125">B191/B3</f>
        <v>8.2587132971496557E-2</v>
      </c>
      <c r="C192" s="89">
        <f t="shared" si="125"/>
        <v>9.7223039100362313E-2</v>
      </c>
      <c r="D192" s="89">
        <f t="shared" si="125"/>
        <v>7.376301966962788E-2</v>
      </c>
      <c r="E192" s="89">
        <f t="shared" si="125"/>
        <v>0.13432203228035877</v>
      </c>
      <c r="F192" s="89">
        <f t="shared" si="125"/>
        <v>5.3253456808152501E-2</v>
      </c>
      <c r="G192" s="57">
        <f t="shared" si="125"/>
        <v>-2.0248171698881321E-3</v>
      </c>
      <c r="H192" s="57">
        <f t="shared" si="125"/>
        <v>1.5904842122563018E-2</v>
      </c>
      <c r="I192" s="57">
        <f t="shared" si="125"/>
        <v>-3.4225501746118582E-2</v>
      </c>
      <c r="J192" s="57">
        <f t="shared" si="125"/>
        <v>6.6706016745833249E-2</v>
      </c>
      <c r="K192" s="89">
        <f t="shared" si="125"/>
        <v>1.2674448441007496E-2</v>
      </c>
      <c r="L192" s="57">
        <f t="shared" si="125"/>
        <v>8.451075109939464E-2</v>
      </c>
      <c r="M192" s="57">
        <f t="shared" si="125"/>
        <v>5.1753116823149148E-2</v>
      </c>
      <c r="N192" s="57">
        <f t="shared" si="125"/>
        <v>0.11577817124247144</v>
      </c>
      <c r="O192" s="57">
        <f t="shared" si="125"/>
        <v>0.13181383755836523</v>
      </c>
      <c r="P192" s="89">
        <f t="shared" si="125"/>
        <v>0.10051306387779588</v>
      </c>
      <c r="Q192" s="57">
        <f t="shared" si="125"/>
        <v>0.15227550724454925</v>
      </c>
      <c r="R192" s="57">
        <f t="shared" si="125"/>
        <v>4.8924822374248507E-2</v>
      </c>
      <c r="S192" s="57">
        <f t="shared" si="125"/>
        <v>6.6881810140712331E-2</v>
      </c>
      <c r="T192" s="57">
        <f t="shared" si="125"/>
        <v>0.17819508215912278</v>
      </c>
      <c r="U192" s="89">
        <f t="shared" si="125"/>
        <v>0.11463362079600239</v>
      </c>
      <c r="V192" s="57">
        <f t="shared" si="125"/>
        <v>7.2408205420420937E-2</v>
      </c>
      <c r="W192" s="57">
        <f t="shared" ref="W192" si="126">W191/W3</f>
        <v>9.7321787807224711E-2</v>
      </c>
      <c r="X192" s="84"/>
      <c r="Y192" s="84"/>
      <c r="Z192" s="83">
        <f ca="1">Z191/Z3</f>
        <v>0.12413370940788003</v>
      </c>
      <c r="AA192" s="83">
        <v>0.12770000000000001</v>
      </c>
      <c r="AB192" s="83">
        <v>0.13350000000000001</v>
      </c>
      <c r="AC192" s="83">
        <v>0.13819999999999999</v>
      </c>
    </row>
    <row r="194" spans="1:34" ht="15" customHeight="1">
      <c r="A194" t="s">
        <v>187</v>
      </c>
      <c r="B194" s="16">
        <f>B157</f>
        <v>-24.399000000000001</v>
      </c>
      <c r="C194" s="16">
        <f t="shared" ref="C194:V194" si="127">C157</f>
        <v>-42.804000000000002</v>
      </c>
      <c r="D194" s="16">
        <f t="shared" si="127"/>
        <v>-42.478999999999999</v>
      </c>
      <c r="E194" s="16">
        <f t="shared" si="127"/>
        <v>-52.573999999999998</v>
      </c>
      <c r="F194" s="16">
        <f t="shared" si="127"/>
        <v>-56.332000000000001</v>
      </c>
      <c r="G194" s="30">
        <f t="shared" si="127"/>
        <v>-15.106</v>
      </c>
      <c r="H194" s="30">
        <f t="shared" si="127"/>
        <v>-19.597000000000001</v>
      </c>
      <c r="I194" s="30">
        <f t="shared" si="127"/>
        <v>-17.533000000000001</v>
      </c>
      <c r="J194" s="30">
        <f t="shared" si="127"/>
        <v>-16.614999999999998</v>
      </c>
      <c r="K194" s="16">
        <f t="shared" si="127"/>
        <v>-68.850999999999999</v>
      </c>
      <c r="L194" s="30">
        <f t="shared" si="127"/>
        <v>-31.663</v>
      </c>
      <c r="M194" s="30">
        <f t="shared" si="127"/>
        <v>-28.736000000000001</v>
      </c>
      <c r="N194" s="30">
        <f t="shared" si="127"/>
        <v>-18.646999999999998</v>
      </c>
      <c r="O194" s="30">
        <f t="shared" si="127"/>
        <v>-18.763999999999999</v>
      </c>
      <c r="P194" s="16">
        <f t="shared" si="127"/>
        <v>-97.81</v>
      </c>
      <c r="Q194" s="30">
        <f t="shared" si="127"/>
        <v>-26.783000000000001</v>
      </c>
      <c r="R194" s="30">
        <f t="shared" si="127"/>
        <v>-28.734999999999999</v>
      </c>
      <c r="S194" s="30">
        <f t="shared" si="127"/>
        <v>-14.891999999999999</v>
      </c>
      <c r="T194" s="30">
        <f t="shared" si="127"/>
        <v>-17.52</v>
      </c>
      <c r="U194" s="16">
        <f t="shared" si="127"/>
        <v>-87.93</v>
      </c>
      <c r="V194" s="30">
        <f t="shared" si="127"/>
        <v>-26.832000000000001</v>
      </c>
      <c r="W194" s="30">
        <f t="shared" ref="W194" si="128">W157</f>
        <v>-41.393999999999998</v>
      </c>
      <c r="X194" s="50">
        <f ca="1">-X195*X3</f>
        <v>-32.724580799999998</v>
      </c>
      <c r="Y194" s="50">
        <f ca="1">-Y195*Y3</f>
        <v>-37.025614400000002</v>
      </c>
      <c r="Z194" s="51">
        <f ca="1">SUM(V194:Y194)</f>
        <v>-137.97619520000001</v>
      </c>
      <c r="AA194" s="51">
        <f ca="1">AA3*-AA195</f>
        <v>-168.32245840200002</v>
      </c>
      <c r="AB194" s="51">
        <f ca="1">AB3*-AB195</f>
        <v>-195.25405174632002</v>
      </c>
      <c r="AC194" s="51">
        <f ca="1">AC3*-AC195</f>
        <v>-226.49470002573122</v>
      </c>
    </row>
    <row r="195" spans="1:34" ht="15" customHeight="1">
      <c r="A195" t="s">
        <v>184</v>
      </c>
      <c r="B195" s="89">
        <f t="shared" ref="B195:V195" si="129">-B194/B3</f>
        <v>4.2939959029376362E-2</v>
      </c>
      <c r="C195" s="89">
        <f t="shared" si="129"/>
        <v>6.293817343433869E-2</v>
      </c>
      <c r="D195" s="89">
        <f t="shared" si="129"/>
        <v>5.4235111166720709E-2</v>
      </c>
      <c r="E195" s="89">
        <f t="shared" si="129"/>
        <v>6.6915368744741813E-2</v>
      </c>
      <c r="F195" s="89">
        <f t="shared" si="129"/>
        <v>6.1853066575605083E-2</v>
      </c>
      <c r="G195" s="57">
        <f t="shared" si="129"/>
        <v>5.301020479779902E-2</v>
      </c>
      <c r="H195" s="57">
        <f t="shared" si="129"/>
        <v>8.0518520040265426E-2</v>
      </c>
      <c r="I195" s="57">
        <f t="shared" si="129"/>
        <v>4.6106471157487276E-2</v>
      </c>
      <c r="J195" s="57">
        <f t="shared" si="129"/>
        <v>4.227165293230175E-2</v>
      </c>
      <c r="K195" s="89">
        <f t="shared" si="129"/>
        <v>5.2894196242684419E-2</v>
      </c>
      <c r="L195" s="57">
        <f t="shared" si="129"/>
        <v>9.2641736326690635E-2</v>
      </c>
      <c r="M195" s="57">
        <f t="shared" si="129"/>
        <v>8.8459288902570418E-2</v>
      </c>
      <c r="N195" s="57">
        <f t="shared" si="129"/>
        <v>4.4198410497448402E-2</v>
      </c>
      <c r="O195" s="57">
        <f t="shared" si="129"/>
        <v>3.9500995734970297E-2</v>
      </c>
      <c r="P195" s="89">
        <f t="shared" si="129"/>
        <v>6.2556442143125765E-2</v>
      </c>
      <c r="Q195" s="57">
        <f t="shared" si="129"/>
        <v>6.7547698011374391E-2</v>
      </c>
      <c r="R195" s="57">
        <f t="shared" si="129"/>
        <v>7.7363788846798967E-2</v>
      </c>
      <c r="S195" s="57">
        <f t="shared" si="129"/>
        <v>2.8760472311382519E-2</v>
      </c>
      <c r="T195" s="57">
        <f t="shared" si="129"/>
        <v>3.2555192385949977E-2</v>
      </c>
      <c r="U195" s="89">
        <f t="shared" si="129"/>
        <v>4.8210170684729173E-2</v>
      </c>
      <c r="V195" s="57">
        <f t="shared" si="129"/>
        <v>4.7779479326186827E-2</v>
      </c>
      <c r="W195" s="57">
        <f t="shared" ref="W195" si="130">-W194/W3</f>
        <v>7.2411440566780366E-2</v>
      </c>
      <c r="X195" s="84">
        <v>0.04</v>
      </c>
      <c r="Y195" s="84">
        <v>4.2999999999999997E-2</v>
      </c>
      <c r="Z195" s="83">
        <f ca="1">-Z194/Z3</f>
        <v>4.9059854288712547E-2</v>
      </c>
      <c r="AA195" s="83">
        <v>5.2499999999999998E-2</v>
      </c>
      <c r="AB195" s="83">
        <v>5.2499999999999998E-2</v>
      </c>
      <c r="AC195" s="83">
        <v>5.2499999999999998E-2</v>
      </c>
    </row>
    <row r="196" spans="1:34" ht="15" customHeight="1" thickBot="1"/>
    <row r="197" spans="1:34" s="23" customFormat="1" ht="15" customHeight="1" thickBot="1">
      <c r="A197" s="101" t="s">
        <v>182</v>
      </c>
      <c r="B197" s="212">
        <f>B191+B194</f>
        <v>22.527999999999999</v>
      </c>
      <c r="C197" s="212">
        <f t="shared" ref="C197:V197" si="131">C191+C194</f>
        <v>23.317000000000007</v>
      </c>
      <c r="D197" s="212">
        <f t="shared" si="131"/>
        <v>15.295000000000002</v>
      </c>
      <c r="E197" s="212">
        <f t="shared" si="131"/>
        <v>52.960000000000008</v>
      </c>
      <c r="F197" s="212">
        <f t="shared" si="131"/>
        <v>-7.8320000000000007</v>
      </c>
      <c r="G197" s="63">
        <f t="shared" si="131"/>
        <v>-15.683000000000002</v>
      </c>
      <c r="H197" s="63">
        <f t="shared" si="131"/>
        <v>-15.726000000000001</v>
      </c>
      <c r="I197" s="63">
        <f t="shared" si="131"/>
        <v>-30.548000000000005</v>
      </c>
      <c r="J197" s="63">
        <f t="shared" si="131"/>
        <v>9.6039999999999992</v>
      </c>
      <c r="K197" s="212">
        <f t="shared" si="131"/>
        <v>-52.353000000000009</v>
      </c>
      <c r="L197" s="63">
        <f t="shared" si="131"/>
        <v>-2.7789999999999999</v>
      </c>
      <c r="M197" s="63">
        <f t="shared" si="131"/>
        <v>-11.923999999999999</v>
      </c>
      <c r="N197" s="63">
        <f t="shared" si="131"/>
        <v>30.199000000000005</v>
      </c>
      <c r="O197" s="63">
        <f t="shared" si="131"/>
        <v>43.850999999999999</v>
      </c>
      <c r="P197" s="212">
        <f t="shared" si="131"/>
        <v>59.34699999999998</v>
      </c>
      <c r="Q197" s="63">
        <f t="shared" si="131"/>
        <v>33.594999999999999</v>
      </c>
      <c r="R197" s="63">
        <f t="shared" si="131"/>
        <v>-10.562999999999999</v>
      </c>
      <c r="S197" s="63">
        <f t="shared" si="131"/>
        <v>19.739000000000001</v>
      </c>
      <c r="T197" s="63">
        <f t="shared" si="131"/>
        <v>78.378</v>
      </c>
      <c r="U197" s="212">
        <f t="shared" si="131"/>
        <v>121.149</v>
      </c>
      <c r="V197" s="63">
        <f t="shared" si="131"/>
        <v>13.830999999999996</v>
      </c>
      <c r="W197" s="63">
        <f t="shared" ref="W197" si="132">W191+W194</f>
        <v>14.240000000000002</v>
      </c>
      <c r="X197" s="213">
        <f t="shared" ref="X197:Y197" ca="1" si="133">X191+X194</f>
        <v>74.424696871762961</v>
      </c>
      <c r="Y197" s="213">
        <f t="shared" ca="1" si="133"/>
        <v>108.64241265829298</v>
      </c>
      <c r="Z197" s="94">
        <f ca="1">Z191+Z194</f>
        <v>211.13810953005589</v>
      </c>
      <c r="AA197" s="94">
        <f t="shared" ref="AA197:AC197" ca="1" si="134">AA191+AA194</f>
        <v>241.10188327296012</v>
      </c>
      <c r="AB197" s="94">
        <f t="shared" ca="1" si="134"/>
        <v>301.24910840860809</v>
      </c>
      <c r="AC197" s="94">
        <f t="shared" ca="1" si="134"/>
        <v>369.72563413724123</v>
      </c>
      <c r="AD197" s="60"/>
      <c r="AE197" s="60"/>
      <c r="AF197" s="60"/>
      <c r="AG197" s="60"/>
      <c r="AH197" s="60"/>
    </row>
    <row r="198" spans="1:34" ht="15" customHeight="1">
      <c r="A198" t="s">
        <v>188</v>
      </c>
      <c r="B198" s="89">
        <f t="shared" ref="B198:V198" si="135">B197/B3</f>
        <v>3.9647173942120195E-2</v>
      </c>
      <c r="C198" s="89">
        <f t="shared" si="135"/>
        <v>3.428486566602363E-2</v>
      </c>
      <c r="D198" s="89">
        <f t="shared" si="135"/>
        <v>1.9527908502907164E-2</v>
      </c>
      <c r="E198" s="89">
        <f t="shared" si="135"/>
        <v>6.7406663535616973E-2</v>
      </c>
      <c r="F198" s="89">
        <f t="shared" si="135"/>
        <v>-8.5996097674525852E-3</v>
      </c>
      <c r="G198" s="57">
        <f t="shared" si="135"/>
        <v>-5.5035021967687149E-2</v>
      </c>
      <c r="H198" s="57">
        <f t="shared" si="135"/>
        <v>-6.4613677917702408E-2</v>
      </c>
      <c r="I198" s="57">
        <f t="shared" si="135"/>
        <v>-8.0331972903605858E-2</v>
      </c>
      <c r="J198" s="57">
        <f t="shared" si="135"/>
        <v>2.4434363813531507E-2</v>
      </c>
      <c r="K198" s="89">
        <f t="shared" si="135"/>
        <v>-4.0219747801676926E-2</v>
      </c>
      <c r="L198" s="57">
        <f t="shared" si="135"/>
        <v>-8.1309852272960018E-3</v>
      </c>
      <c r="M198" s="57">
        <f t="shared" si="135"/>
        <v>-3.670617207942127E-2</v>
      </c>
      <c r="N198" s="57">
        <f t="shared" si="135"/>
        <v>7.1579760745023049E-2</v>
      </c>
      <c r="O198" s="57">
        <f t="shared" si="135"/>
        <v>9.2312841823394928E-2</v>
      </c>
      <c r="P198" s="89">
        <f t="shared" si="135"/>
        <v>3.7956621734670112E-2</v>
      </c>
      <c r="Q198" s="57">
        <f t="shared" si="135"/>
        <v>8.4727809233174869E-2</v>
      </c>
      <c r="R198" s="57">
        <f t="shared" si="135"/>
        <v>-2.8438966472550457E-2</v>
      </c>
      <c r="S198" s="57">
        <f t="shared" si="135"/>
        <v>3.8121337829329811E-2</v>
      </c>
      <c r="T198" s="57">
        <f t="shared" si="135"/>
        <v>0.1456398897731728</v>
      </c>
      <c r="U198" s="89">
        <f t="shared" si="135"/>
        <v>6.6423450111273222E-2</v>
      </c>
      <c r="V198" s="57">
        <f t="shared" si="135"/>
        <v>2.4628726094234117E-2</v>
      </c>
      <c r="W198" s="57">
        <f t="shared" ref="W198" si="136">W197/W3</f>
        <v>2.4910347240444334E-2</v>
      </c>
      <c r="Z198" s="83">
        <f ca="1">Z197/Z3</f>
        <v>7.5073855119167476E-2</v>
      </c>
      <c r="AA198" s="83">
        <f ca="1">AA197/AA3</f>
        <v>7.5200000000000017E-2</v>
      </c>
      <c r="AB198" s="83">
        <f ca="1">AB197/AB3</f>
        <v>8.1000000000000016E-2</v>
      </c>
      <c r="AC198" s="83">
        <f ca="1">AC197/AC3</f>
        <v>8.5699999999999985E-2</v>
      </c>
    </row>
    <row r="199" spans="1:34" ht="15" customHeight="1">
      <c r="B199" s="89"/>
      <c r="C199" s="89"/>
      <c r="D199" s="89"/>
      <c r="E199" s="89"/>
      <c r="F199" s="89"/>
      <c r="G199" s="57"/>
      <c r="H199" s="57"/>
      <c r="I199" s="57"/>
      <c r="J199" s="57"/>
      <c r="K199" s="89"/>
      <c r="L199" s="57"/>
      <c r="M199" s="57"/>
      <c r="N199" s="57"/>
      <c r="O199" s="57"/>
      <c r="P199" s="89"/>
      <c r="Q199" s="57"/>
      <c r="R199" s="57"/>
      <c r="S199" s="57"/>
      <c r="T199" s="57"/>
      <c r="U199" s="89"/>
      <c r="V199" s="57"/>
      <c r="Y199" s="85"/>
      <c r="Z199" s="83"/>
      <c r="AA199" s="83"/>
      <c r="AB199" s="83"/>
      <c r="AC199" s="83"/>
    </row>
    <row r="200" spans="1:34" s="197" customFormat="1" ht="15" customHeight="1" thickBot="1">
      <c r="A200" s="199" t="s">
        <v>189</v>
      </c>
      <c r="X200" s="198"/>
      <c r="Y200" s="198"/>
      <c r="Z200" s="198"/>
      <c r="AA200" s="198"/>
      <c r="AB200" s="198"/>
      <c r="AC200" s="198"/>
      <c r="AD200" s="198"/>
      <c r="AE200" s="198"/>
      <c r="AF200" s="198"/>
      <c r="AG200" s="198"/>
      <c r="AH200" s="198"/>
    </row>
    <row r="201" spans="1:34" s="23" customFormat="1" ht="15" customHeight="1" thickBot="1">
      <c r="A201" s="144" t="s">
        <v>190</v>
      </c>
      <c r="B201" s="212">
        <f>SUM(B202:B204)</f>
        <v>20.165999999999997</v>
      </c>
      <c r="C201" s="212">
        <f t="shared" ref="C201:F201" si="137">SUM(C202:C204)</f>
        <v>15.408000000000008</v>
      </c>
      <c r="D201" s="212">
        <f t="shared" si="137"/>
        <v>14.726000000000003</v>
      </c>
      <c r="E201" s="212">
        <f t="shared" si="137"/>
        <v>52.960000000000008</v>
      </c>
      <c r="F201" s="212">
        <f t="shared" si="137"/>
        <v>-7.8320000000000007</v>
      </c>
      <c r="G201" s="63">
        <f>SUM(G202:G204)</f>
        <v>-15.683000000000002</v>
      </c>
      <c r="H201" s="103">
        <f t="shared" ref="H201:V201" si="138">SUM(H202:H204)</f>
        <v>-22.084</v>
      </c>
      <c r="I201" s="103">
        <f t="shared" si="138"/>
        <v>-31.852000000000004</v>
      </c>
      <c r="J201" s="103">
        <f t="shared" si="138"/>
        <v>9.8339999999999996</v>
      </c>
      <c r="K201" s="102">
        <f t="shared" si="138"/>
        <v>-59.785000000000011</v>
      </c>
      <c r="L201" s="103">
        <f t="shared" si="138"/>
        <v>-2.609</v>
      </c>
      <c r="M201" s="103">
        <f t="shared" si="138"/>
        <v>-16.375999999999998</v>
      </c>
      <c r="N201" s="103">
        <f t="shared" si="138"/>
        <v>28.002000000000006</v>
      </c>
      <c r="O201" s="103">
        <f t="shared" si="138"/>
        <v>41.87</v>
      </c>
      <c r="P201" s="102">
        <f t="shared" si="138"/>
        <v>50.886999999999979</v>
      </c>
      <c r="Q201" s="103">
        <f t="shared" si="138"/>
        <v>34.607999999999997</v>
      </c>
      <c r="R201" s="103">
        <f t="shared" si="138"/>
        <v>-11.527999999999999</v>
      </c>
      <c r="S201" s="103">
        <f t="shared" si="138"/>
        <v>18.175000000000001</v>
      </c>
      <c r="T201" s="103">
        <f t="shared" si="138"/>
        <v>77.956999999999994</v>
      </c>
      <c r="U201" s="102">
        <f t="shared" si="138"/>
        <v>119.212</v>
      </c>
      <c r="V201" s="103">
        <f t="shared" si="138"/>
        <v>13.989999999999997</v>
      </c>
      <c r="W201" s="33"/>
      <c r="X201" s="59"/>
      <c r="Y201" s="59"/>
      <c r="Z201" s="94">
        <f ca="1">SUM(Z202:Z204)</f>
        <v>206.13810953005589</v>
      </c>
      <c r="AA201" s="94">
        <f ca="1">SUM(AA202:AA204)</f>
        <v>236.10188327296012</v>
      </c>
      <c r="AB201" s="94">
        <f t="shared" ref="AB201:AC201" ca="1" si="139">SUM(AB202:AB204)</f>
        <v>296.24910840860809</v>
      </c>
      <c r="AC201" s="94">
        <f t="shared" ca="1" si="139"/>
        <v>364.72563413724123</v>
      </c>
      <c r="AD201" s="60"/>
      <c r="AE201" s="60"/>
      <c r="AF201" s="60"/>
      <c r="AG201" s="60"/>
      <c r="AH201" s="60"/>
    </row>
    <row r="202" spans="1:34" ht="15" customHeight="1">
      <c r="A202" t="s">
        <v>202</v>
      </c>
      <c r="B202" s="211">
        <f t="shared" ref="B202:AC202" si="140">B197</f>
        <v>22.527999999999999</v>
      </c>
      <c r="C202" s="211">
        <f t="shared" si="140"/>
        <v>23.317000000000007</v>
      </c>
      <c r="D202" s="211">
        <f t="shared" si="140"/>
        <v>15.295000000000002</v>
      </c>
      <c r="E202" s="211">
        <f t="shared" si="140"/>
        <v>52.960000000000008</v>
      </c>
      <c r="F202" s="211">
        <f t="shared" si="140"/>
        <v>-7.8320000000000007</v>
      </c>
      <c r="G202" s="62">
        <f t="shared" si="140"/>
        <v>-15.683000000000002</v>
      </c>
      <c r="H202" s="62">
        <f t="shared" si="140"/>
        <v>-15.726000000000001</v>
      </c>
      <c r="I202" s="62">
        <f t="shared" si="140"/>
        <v>-30.548000000000005</v>
      </c>
      <c r="J202" s="62">
        <f t="shared" si="140"/>
        <v>9.6039999999999992</v>
      </c>
      <c r="K202" s="211">
        <f t="shared" si="140"/>
        <v>-52.353000000000009</v>
      </c>
      <c r="L202" s="62">
        <f t="shared" si="140"/>
        <v>-2.7789999999999999</v>
      </c>
      <c r="M202" s="62">
        <f t="shared" si="140"/>
        <v>-11.923999999999999</v>
      </c>
      <c r="N202" s="62">
        <f t="shared" si="140"/>
        <v>30.199000000000005</v>
      </c>
      <c r="O202" s="62">
        <f t="shared" si="140"/>
        <v>43.850999999999999</v>
      </c>
      <c r="P202" s="211">
        <f t="shared" si="140"/>
        <v>59.34699999999998</v>
      </c>
      <c r="Q202" s="62">
        <f t="shared" si="140"/>
        <v>33.594999999999999</v>
      </c>
      <c r="R202" s="62">
        <f t="shared" si="140"/>
        <v>-10.562999999999999</v>
      </c>
      <c r="S202" s="62">
        <f t="shared" si="140"/>
        <v>19.739000000000001</v>
      </c>
      <c r="T202" s="62">
        <f t="shared" si="140"/>
        <v>78.378</v>
      </c>
      <c r="U202" s="211">
        <f t="shared" si="140"/>
        <v>121.149</v>
      </c>
      <c r="V202" s="62">
        <f t="shared" si="140"/>
        <v>13.830999999999996</v>
      </c>
      <c r="W202" s="62">
        <f t="shared" si="140"/>
        <v>14.240000000000002</v>
      </c>
      <c r="X202" s="85">
        <f t="shared" ca="1" si="140"/>
        <v>74.424696871762961</v>
      </c>
      <c r="Y202" s="85">
        <f t="shared" ca="1" si="140"/>
        <v>108.64241265829298</v>
      </c>
      <c r="Z202" s="95">
        <f t="shared" ca="1" si="140"/>
        <v>211.13810953005589</v>
      </c>
      <c r="AA202" s="95">
        <f t="shared" ca="1" si="140"/>
        <v>241.10188327296012</v>
      </c>
      <c r="AB202" s="95">
        <f t="shared" ca="1" si="140"/>
        <v>301.24910840860809</v>
      </c>
      <c r="AC202" s="95">
        <f t="shared" ca="1" si="140"/>
        <v>369.72563413724123</v>
      </c>
    </row>
    <row r="203" spans="1:34" ht="15" customHeight="1">
      <c r="A203" t="s">
        <v>201</v>
      </c>
      <c r="B203" s="214">
        <v>0</v>
      </c>
      <c r="C203" s="214">
        <v>-0.4</v>
      </c>
      <c r="D203" s="214">
        <v>0</v>
      </c>
      <c r="E203" s="214">
        <v>0</v>
      </c>
      <c r="F203" s="214">
        <v>0</v>
      </c>
      <c r="G203" s="30">
        <v>0</v>
      </c>
      <c r="H203" s="30">
        <v>-6.3579999999999997</v>
      </c>
      <c r="I203" s="30">
        <v>-1.304</v>
      </c>
      <c r="J203" s="30">
        <v>0.23</v>
      </c>
      <c r="K203" s="214">
        <v>-7.4320000000000004</v>
      </c>
      <c r="L203" s="30">
        <v>0.17</v>
      </c>
      <c r="M203" s="30">
        <v>-4.452</v>
      </c>
      <c r="N203" s="30">
        <v>-2.1970000000000001</v>
      </c>
      <c r="O203" s="30">
        <v>-1.9810000000000001</v>
      </c>
      <c r="P203" s="214">
        <v>-8.4600000000000009</v>
      </c>
      <c r="Q203" s="30">
        <v>1.0129999999999999</v>
      </c>
      <c r="R203" s="30">
        <v>-0.96499999999999997</v>
      </c>
      <c r="S203" s="30">
        <v>-1.5640000000000001</v>
      </c>
      <c r="T203" s="30">
        <v>-0.42099999999999999</v>
      </c>
      <c r="U203" s="214">
        <v>-1.9370000000000001</v>
      </c>
      <c r="V203" s="30">
        <v>0.159</v>
      </c>
      <c r="W203" s="31">
        <v>-2.42</v>
      </c>
      <c r="X203" s="46">
        <v>-2</v>
      </c>
      <c r="Y203" s="46">
        <v>-1.1599999999999999</v>
      </c>
      <c r="Z203" s="51">
        <v>-5</v>
      </c>
      <c r="AA203" s="51">
        <v>-5</v>
      </c>
      <c r="AB203" s="51">
        <v>-5</v>
      </c>
      <c r="AC203" s="51">
        <v>-5</v>
      </c>
    </row>
    <row r="204" spans="1:34" ht="15" customHeight="1">
      <c r="A204" t="s">
        <v>191</v>
      </c>
      <c r="B204" s="214">
        <v>-2.3620000000000001</v>
      </c>
      <c r="C204" s="214">
        <v>-7.5090000000000003</v>
      </c>
      <c r="D204" s="214">
        <v>-0.56899999999999995</v>
      </c>
      <c r="E204" s="214">
        <v>0</v>
      </c>
      <c r="F204" s="214">
        <v>0</v>
      </c>
      <c r="G204" s="30">
        <v>0</v>
      </c>
      <c r="H204" s="30">
        <v>0</v>
      </c>
      <c r="I204" s="30">
        <v>0</v>
      </c>
      <c r="J204" s="30">
        <v>0</v>
      </c>
      <c r="K204" s="16">
        <v>0</v>
      </c>
      <c r="L204" s="30">
        <v>0</v>
      </c>
      <c r="M204" s="30">
        <v>0</v>
      </c>
      <c r="N204" s="30">
        <v>0</v>
      </c>
      <c r="O204" s="30">
        <v>0</v>
      </c>
      <c r="P204" s="16">
        <v>0</v>
      </c>
      <c r="Q204" s="30">
        <v>0</v>
      </c>
      <c r="R204" s="30">
        <v>0</v>
      </c>
      <c r="S204" s="30">
        <v>0</v>
      </c>
      <c r="T204" s="30">
        <v>0</v>
      </c>
      <c r="U204" s="16">
        <v>0</v>
      </c>
      <c r="V204" s="30">
        <v>0</v>
      </c>
      <c r="W204" s="30">
        <v>0</v>
      </c>
      <c r="X204" s="50">
        <v>0</v>
      </c>
      <c r="Y204" s="50">
        <v>0</v>
      </c>
      <c r="Z204" s="51">
        <v>0</v>
      </c>
      <c r="AA204" s="51">
        <v>0</v>
      </c>
      <c r="AB204" s="51">
        <v>0</v>
      </c>
      <c r="AC204" s="51">
        <v>0</v>
      </c>
    </row>
    <row r="205" spans="1:34" ht="15" customHeight="1">
      <c r="W205" s="30"/>
    </row>
    <row r="206" spans="1:34" ht="15" customHeight="1">
      <c r="A206" t="s">
        <v>192</v>
      </c>
      <c r="W206" s="30"/>
    </row>
    <row r="207" spans="1:34" ht="15" customHeight="1">
      <c r="A207" t="s">
        <v>193</v>
      </c>
      <c r="B207" s="16">
        <v>-6.1240000000000023</v>
      </c>
      <c r="C207" s="16">
        <v>4.5560000000000009</v>
      </c>
      <c r="D207" s="16">
        <v>-13.000999999999999</v>
      </c>
      <c r="E207" s="16">
        <v>41.887000000000008</v>
      </c>
      <c r="F207" s="16">
        <v>123.84700000000001</v>
      </c>
      <c r="G207" s="30">
        <v>67.5</v>
      </c>
      <c r="H207" s="30">
        <v>43.5</v>
      </c>
      <c r="I207" s="30">
        <v>26.3</v>
      </c>
      <c r="J207" s="30">
        <v>21.875</v>
      </c>
      <c r="K207" s="16">
        <v>159.17500000000001</v>
      </c>
      <c r="L207" s="30">
        <v>49.875</v>
      </c>
      <c r="M207" s="30">
        <v>-3.125</v>
      </c>
      <c r="N207" s="30">
        <v>-3.125</v>
      </c>
      <c r="O207" s="30">
        <v>-43.75</v>
      </c>
      <c r="P207" s="16">
        <v>-0.125</v>
      </c>
      <c r="Q207" s="30">
        <v>66.25</v>
      </c>
      <c r="R207" s="30">
        <v>-3.75</v>
      </c>
      <c r="S207" s="30">
        <v>39.384999999999998</v>
      </c>
      <c r="T207" s="30">
        <v>35.537000000000006</v>
      </c>
      <c r="U207" s="215">
        <v>137.42200000000003</v>
      </c>
      <c r="V207" s="30">
        <v>706.83199999999999</v>
      </c>
      <c r="W207" s="40">
        <v>137.13300000000001</v>
      </c>
      <c r="X207" s="50">
        <v>50</v>
      </c>
      <c r="Y207" s="50">
        <v>-80</v>
      </c>
      <c r="Z207" s="95">
        <f>SUM(V207:Y207)</f>
        <v>813.96500000000003</v>
      </c>
      <c r="AA207" s="205"/>
      <c r="AB207" s="205"/>
      <c r="AC207" s="205"/>
    </row>
    <row r="208" spans="1:34" ht="15" customHeight="1">
      <c r="W208" s="30"/>
    </row>
    <row r="209" spans="1:34" ht="15" customHeight="1">
      <c r="A209" t="s">
        <v>194</v>
      </c>
      <c r="W209" s="30"/>
    </row>
    <row r="210" spans="1:34" ht="15" customHeight="1">
      <c r="A210" t="s">
        <v>195</v>
      </c>
      <c r="B210" s="214">
        <v>0</v>
      </c>
      <c r="C210" s="214">
        <v>98.013999999999996</v>
      </c>
      <c r="D210" s="214">
        <v>3.0000000000000001E-3</v>
      </c>
      <c r="E210" s="214">
        <v>0</v>
      </c>
      <c r="F210" s="214">
        <v>0</v>
      </c>
      <c r="G210" s="40">
        <v>-3.9E-2</v>
      </c>
      <c r="H210" s="40">
        <v>0</v>
      </c>
      <c r="I210" s="40">
        <v>0</v>
      </c>
      <c r="J210" s="40">
        <v>0</v>
      </c>
      <c r="K210">
        <v>-0.04</v>
      </c>
      <c r="L210" s="40">
        <v>-0.13900000000000001</v>
      </c>
      <c r="M210" s="40">
        <v>0</v>
      </c>
      <c r="N210" s="40">
        <v>0</v>
      </c>
      <c r="O210" s="40">
        <v>0</v>
      </c>
      <c r="P210" s="2">
        <v>-0.13900000000000001</v>
      </c>
      <c r="Q210" s="40">
        <v>-1.3360000000000001</v>
      </c>
      <c r="R210" s="40">
        <v>0</v>
      </c>
      <c r="S210" s="40">
        <v>-5.2690000000000001</v>
      </c>
      <c r="T210" s="40">
        <v>-4.7069999999999999</v>
      </c>
      <c r="U210" s="16">
        <v>-11.311999999999999</v>
      </c>
      <c r="V210" s="40">
        <v>-12.081</v>
      </c>
      <c r="W210" s="40">
        <v>-8.048</v>
      </c>
      <c r="X210" s="50">
        <v>0</v>
      </c>
      <c r="Y210" s="50">
        <v>0</v>
      </c>
      <c r="Z210" s="54">
        <f>V210</f>
        <v>-12.081</v>
      </c>
      <c r="AA210" s="51">
        <v>0</v>
      </c>
      <c r="AB210" s="51">
        <v>0</v>
      </c>
      <c r="AC210" s="51">
        <v>0</v>
      </c>
    </row>
    <row r="211" spans="1:34" ht="15" customHeight="1">
      <c r="W211" s="30"/>
    </row>
    <row r="212" spans="1:34" ht="15" customHeight="1">
      <c r="A212" t="s">
        <v>199</v>
      </c>
      <c r="W212" s="30"/>
    </row>
    <row r="213" spans="1:34" ht="15" customHeight="1">
      <c r="A213" t="s">
        <v>200</v>
      </c>
      <c r="B213" s="216">
        <v>-31.292999999999999</v>
      </c>
      <c r="C213" s="216">
        <v>0</v>
      </c>
      <c r="D213" s="216">
        <v>0</v>
      </c>
      <c r="E213" s="216">
        <v>0</v>
      </c>
      <c r="F213" s="216">
        <v>0</v>
      </c>
      <c r="G213" s="30">
        <v>0</v>
      </c>
      <c r="H213" s="30">
        <v>0</v>
      </c>
      <c r="I213" s="30">
        <v>0</v>
      </c>
      <c r="J213" s="30">
        <v>0</v>
      </c>
      <c r="K213" s="16">
        <v>0</v>
      </c>
      <c r="L213" s="30">
        <v>0</v>
      </c>
      <c r="M213" s="30">
        <v>0</v>
      </c>
      <c r="N213" s="30">
        <v>0</v>
      </c>
      <c r="O213" s="30">
        <v>0</v>
      </c>
      <c r="P213" s="16">
        <v>0</v>
      </c>
      <c r="Q213" s="30">
        <v>0</v>
      </c>
      <c r="R213" s="30">
        <v>0</v>
      </c>
      <c r="S213" s="30">
        <v>0</v>
      </c>
      <c r="T213" s="30">
        <v>0</v>
      </c>
      <c r="U213" s="16">
        <v>0</v>
      </c>
      <c r="V213" s="30">
        <v>0</v>
      </c>
      <c r="W213" s="30">
        <v>0</v>
      </c>
      <c r="X213" s="50">
        <v>0</v>
      </c>
      <c r="Y213" s="50">
        <v>0</v>
      </c>
      <c r="Z213" s="51">
        <v>0</v>
      </c>
      <c r="AA213" s="51">
        <v>0</v>
      </c>
      <c r="AB213" s="51">
        <v>0</v>
      </c>
      <c r="AC213" s="51">
        <v>0</v>
      </c>
    </row>
    <row r="215" spans="1:34" ht="15" customHeight="1">
      <c r="A215" t="s">
        <v>196</v>
      </c>
    </row>
    <row r="216" spans="1:34" ht="15" customHeight="1">
      <c r="A216" t="s">
        <v>197</v>
      </c>
      <c r="B216" s="214">
        <v>-6.2869999999999999</v>
      </c>
      <c r="C216" s="214">
        <v>-46.387999999999998</v>
      </c>
      <c r="D216" s="214">
        <v>-20.245999999999999</v>
      </c>
      <c r="E216" s="214">
        <v>-27.15</v>
      </c>
      <c r="F216" s="214">
        <v>-207.08</v>
      </c>
      <c r="G216" s="40">
        <v>-65.168000000000006</v>
      </c>
      <c r="H216" s="40">
        <v>-33.948</v>
      </c>
      <c r="I216" s="40">
        <v>0.40699999999999997</v>
      </c>
      <c r="J216" s="40">
        <v>-22.334</v>
      </c>
      <c r="K216" s="214">
        <v>-121.04300000000001</v>
      </c>
      <c r="L216" s="40">
        <v>-39.177</v>
      </c>
      <c r="M216" s="40">
        <v>6.6230000000000002</v>
      </c>
      <c r="N216" s="40">
        <v>-0.55900000000000005</v>
      </c>
      <c r="O216" s="40">
        <v>-3.9889999999999999</v>
      </c>
      <c r="P216" s="214">
        <v>-37.101999999999997</v>
      </c>
      <c r="Q216" s="40">
        <v>-78.891000000000005</v>
      </c>
      <c r="R216" s="40">
        <v>-3.9969999999999999</v>
      </c>
      <c r="S216" s="40">
        <v>-44.283999999999999</v>
      </c>
      <c r="T216" s="40">
        <v>-90.546000000000006</v>
      </c>
      <c r="U216" s="16">
        <v>-217.71799999999999</v>
      </c>
      <c r="V216" s="40">
        <v>-652.35699999999997</v>
      </c>
      <c r="W216" s="40">
        <v>-170.38800000000001</v>
      </c>
      <c r="X216" s="85">
        <f t="shared" ref="X216" si="141">X217+X218</f>
        <v>-150</v>
      </c>
      <c r="Y216" s="85">
        <f>Y217</f>
        <v>0</v>
      </c>
      <c r="Z216" s="54">
        <f>SUM(V216:Y216)</f>
        <v>-972.745</v>
      </c>
    </row>
    <row r="217" spans="1:34" ht="15" customHeight="1">
      <c r="A217" t="s">
        <v>203</v>
      </c>
      <c r="B217" s="214">
        <v>-10.843</v>
      </c>
      <c r="C217" s="214">
        <v>-51.319000000000003</v>
      </c>
      <c r="D217" s="214">
        <v>-24.702000000000002</v>
      </c>
      <c r="E217" s="214">
        <v>-30.190999999999999</v>
      </c>
      <c r="F217" s="214">
        <v>-210.73400000000001</v>
      </c>
      <c r="G217" s="40">
        <v>-65.900999999999996</v>
      </c>
      <c r="H217" s="40">
        <v>-36.991999999999997</v>
      </c>
      <c r="I217" s="40">
        <v>0</v>
      </c>
      <c r="J217" s="40">
        <v>-25.675000000000001</v>
      </c>
      <c r="K217" s="214">
        <v>-128.56800000000001</v>
      </c>
      <c r="L217" s="40">
        <v>-77.206000000000003</v>
      </c>
      <c r="M217" s="40">
        <v>-0.63600000000000001</v>
      </c>
      <c r="N217" s="40">
        <v>-4.8979999999999997</v>
      </c>
      <c r="O217" s="40">
        <v>-9.0470000000000006</v>
      </c>
      <c r="P217" s="214">
        <v>-91.787000000000006</v>
      </c>
      <c r="Q217" s="40">
        <v>-81.350999999999999</v>
      </c>
      <c r="R217" s="40">
        <v>-6.4989999999999997</v>
      </c>
      <c r="S217" s="40">
        <v>-47.369</v>
      </c>
      <c r="T217" s="40">
        <v>-96.558000000000007</v>
      </c>
      <c r="U217" s="16">
        <v>-231.77699999999999</v>
      </c>
      <c r="V217" s="40">
        <v>-654.20000000000005</v>
      </c>
      <c r="W217" s="40">
        <v>-174.536</v>
      </c>
      <c r="X217" s="50">
        <v>-150</v>
      </c>
      <c r="Y217" s="50">
        <v>0</v>
      </c>
      <c r="Z217" s="54">
        <f t="shared" ref="Z217:Z218" si="142">SUM(V217:Y217)</f>
        <v>-978.7360000000001</v>
      </c>
      <c r="AA217" s="47">
        <v>-230</v>
      </c>
      <c r="AB217" s="47">
        <v>-230</v>
      </c>
      <c r="AC217" s="47">
        <v>-250</v>
      </c>
    </row>
    <row r="218" spans="1:34" ht="15" customHeight="1">
      <c r="A218" t="s">
        <v>204</v>
      </c>
      <c r="B218" s="214">
        <v>4.556</v>
      </c>
      <c r="C218" s="214">
        <v>4.931</v>
      </c>
      <c r="D218" s="214">
        <v>4.4560000000000004</v>
      </c>
      <c r="E218" s="214">
        <v>3.0409999999999999</v>
      </c>
      <c r="F218" s="214">
        <v>3.6539999999999999</v>
      </c>
      <c r="G218" s="40">
        <v>0.73299999999999998</v>
      </c>
      <c r="H218" s="40">
        <v>3.044</v>
      </c>
      <c r="I218" s="40">
        <v>0.40699999999999997</v>
      </c>
      <c r="J218" s="40">
        <v>3.3410000000000002</v>
      </c>
      <c r="K218" s="214">
        <v>7.5250000000000004</v>
      </c>
      <c r="L218" s="40">
        <v>38.029000000000003</v>
      </c>
      <c r="M218" s="40">
        <v>7.2590000000000003</v>
      </c>
      <c r="N218" s="40">
        <v>4.3390000000000004</v>
      </c>
      <c r="O218" s="40">
        <v>5.0579999999999998</v>
      </c>
      <c r="P218" s="214">
        <v>54.685000000000002</v>
      </c>
      <c r="Q218" s="40">
        <v>2.46</v>
      </c>
      <c r="R218" s="40">
        <v>2.5019999999999998</v>
      </c>
      <c r="S218" s="40">
        <v>3.085</v>
      </c>
      <c r="T218" s="40">
        <v>6.0119999999999996</v>
      </c>
      <c r="U218" s="16">
        <v>14.058999999999999</v>
      </c>
      <c r="V218" s="40">
        <v>1.843</v>
      </c>
      <c r="W218" s="40">
        <v>4.1479999999999997</v>
      </c>
      <c r="Z218" s="54">
        <f t="shared" si="142"/>
        <v>5.9909999999999997</v>
      </c>
    </row>
    <row r="219" spans="1:34" ht="15" customHeight="1" thickBot="1"/>
    <row r="220" spans="1:34" s="23" customFormat="1" ht="15" customHeight="1" thickBot="1">
      <c r="A220" s="101" t="s">
        <v>198</v>
      </c>
      <c r="B220" s="212">
        <f>B202+B204+B207+B210+B216+B213</f>
        <v>-23.538000000000004</v>
      </c>
      <c r="C220" s="212">
        <f>C202+C204+C207+C210+C216+C213+C203</f>
        <v>71.59</v>
      </c>
      <c r="D220" s="212">
        <f t="shared" ref="D220:F220" si="143">D202+D204+D207+D210+D216+D213</f>
        <v>-18.517999999999997</v>
      </c>
      <c r="E220" s="212">
        <f t="shared" si="143"/>
        <v>67.697000000000003</v>
      </c>
      <c r="F220" s="212">
        <f t="shared" si="143"/>
        <v>-91.064999999999998</v>
      </c>
      <c r="G220" s="63">
        <f>G202+G204+G207+G210+G216+G213+G203</f>
        <v>-13.390000000000008</v>
      </c>
      <c r="H220" s="103">
        <f t="shared" ref="H220:Y220" si="144">H202+H204+H207+H210+H216+H213+H203</f>
        <v>-12.532</v>
      </c>
      <c r="I220" s="103">
        <f t="shared" si="144"/>
        <v>-5.1450000000000049</v>
      </c>
      <c r="J220" s="103">
        <f t="shared" si="144"/>
        <v>9.375</v>
      </c>
      <c r="K220" s="102">
        <f t="shared" si="144"/>
        <v>-21.693000000000012</v>
      </c>
      <c r="L220" s="103">
        <f t="shared" si="144"/>
        <v>7.9500000000000011</v>
      </c>
      <c r="M220" s="103">
        <f t="shared" si="144"/>
        <v>-12.877999999999998</v>
      </c>
      <c r="N220" s="103">
        <f t="shared" si="144"/>
        <v>24.318000000000005</v>
      </c>
      <c r="O220" s="103">
        <f t="shared" si="144"/>
        <v>-5.8690000000000007</v>
      </c>
      <c r="P220" s="102">
        <f t="shared" si="144"/>
        <v>13.520999999999979</v>
      </c>
      <c r="Q220" s="103">
        <f t="shared" si="144"/>
        <v>20.630999999999993</v>
      </c>
      <c r="R220" s="103">
        <f t="shared" si="144"/>
        <v>-19.274999999999999</v>
      </c>
      <c r="S220" s="103">
        <f t="shared" si="144"/>
        <v>8.0069999999999979</v>
      </c>
      <c r="T220" s="103">
        <f t="shared" si="144"/>
        <v>18.241000000000007</v>
      </c>
      <c r="U220" s="102">
        <f t="shared" si="144"/>
        <v>27.604000000000024</v>
      </c>
      <c r="V220" s="103">
        <f t="shared" si="144"/>
        <v>56.384000000000022</v>
      </c>
      <c r="W220" s="103">
        <f t="shared" si="144"/>
        <v>-29.48299999999999</v>
      </c>
      <c r="X220" s="93">
        <f t="shared" ca="1" si="144"/>
        <v>-27.575303128237039</v>
      </c>
      <c r="Y220" s="93">
        <f t="shared" ca="1" si="144"/>
        <v>27.482412658292983</v>
      </c>
      <c r="Z220" s="94">
        <f ca="1">Z202+Z203+Z207+Z210+Z217+Z218</f>
        <v>35.277109530055796</v>
      </c>
      <c r="AA220" s="94">
        <f t="shared" ref="AA220:AC220" ca="1" si="145">AA202+AA203+AA207+AA210+AA217+AA218</f>
        <v>6.1018832729601229</v>
      </c>
      <c r="AB220" s="94">
        <f t="shared" ca="1" si="145"/>
        <v>66.249108408608095</v>
      </c>
      <c r="AC220" s="94">
        <f t="shared" ca="1" si="145"/>
        <v>114.72563413724123</v>
      </c>
      <c r="AD220" s="60"/>
      <c r="AE220" s="60"/>
      <c r="AF220" s="60"/>
      <c r="AG220" s="60"/>
      <c r="AH220" s="60"/>
    </row>
    <row r="224" spans="1:34" ht="15" customHeight="1">
      <c r="O224" s="61"/>
    </row>
    <row r="225" spans="15:26" ht="15" customHeight="1">
      <c r="O225" s="201"/>
      <c r="Z225" s="51"/>
    </row>
  </sheetData>
  <phoneticPr fontId="4" type="noConversion"/>
  <hyperlinks>
    <hyperlink ref="U3" r:id="rId1" display="fdsup://factset/Doc Viewer Single?float_window=true&amp;positioning_strategy=center_on_screen&amp;_doc_docfn=U2FsdGVkX18CepSRSisDIcgQ5Q5F5e8mG54ewES0lBqpUQzHegvk2CIYcbngzeCOpSiyuRawW0rOYeQS3rCexzCXgFSxtaSR397WanHBnUo=&amp;_app_id=central_doc_viewer&amp;center_on_screen=true&amp;width=950&amp;height=800&amp;_dd2=%26f%3Dsld%26c%3Dtrue%26os%3D133793%26oe%3D133804" xr:uid="{00000000-0004-0000-0000-000000000000}"/>
    <hyperlink ref="P3" r:id="rId2" display="fdsup://factset/Doc Viewer Single?float_window=true&amp;positioning_strategy=center_on_screen&amp;_doc_docfn=U2FsdGVkX1/Wfem4wKue6Owc1QzAp+xhTkK7d/nPrFi+csVuyBqnVGhaVFqzvkWTgpu9xBXx4fXF/BkBZKjl/doLrtu3YnssgBggfbW2Ib0=&amp;_app_id=central_doc_viewer&amp;center_on_screen=true&amp;width=950&amp;height=800&amp;_dd2=%26f%3Dsld%26c%3Dtrue%26os%3D134029%26oe%3D134040" xr:uid="{00000000-0004-0000-0000-000001000000}"/>
    <hyperlink ref="K3" r:id="rId3" display="fdsup://factset/Doc Viewer Single?float_window=true&amp;positioning_strategy=center_on_screen&amp;_doc_docfn=U2FsdGVkX1+A3ubwTCosBvV8SvLa8gkri3lB1CwCZs3iwfoT0ht1U4PmtlaD7h+Q1K1PJhQHQp9rT8UnUOMKXSLTmNHgrnkTeNNeWNxsbWM=&amp;_app_id=central_doc_viewer&amp;center_on_screen=true&amp;width=950&amp;height=800&amp;_dd2=%26f%3Dsld%26c%3Dtrue%26os%3D134265%26oe%3D134276" xr:uid="{00000000-0004-0000-0000-000002000000}"/>
    <hyperlink ref="F3" r:id="rId4" display="fdsup://factset/Doc Viewer Single?float_window=true&amp;positioning_strategy=center_on_screen&amp;_doc_docfn=U2FsdGVkX1+Y1XSSlvB6WQZzP6H4IIsAuUPWiNU/rnZnw9vZgdqpmvOPrTgM2VEuLEb8Dj72MUzVXaf0/LHwQnmf/lUYMUfBs2xAUpFqrp4=&amp;_app_id=central_doc_viewer&amp;center_on_screen=true&amp;width=950&amp;height=800&amp;_dd2=%26f%3Dsld%26c%3Dtrue%26os%3D134246%26oe%3D134255" xr:uid="{00000000-0004-0000-0000-000003000000}"/>
    <hyperlink ref="E3" r:id="rId5" display="fdsup://factset/Doc Viewer Single?float_window=true&amp;positioning_strategy=center_on_screen&amp;_doc_docfn=U2FsdGVkX1/AYy5cDMcilY6oahj4vBMvjKd1UnNW0CrvolNfzdVm4XpePb348ujFwDrYmxLAqjzTSKYWKEeVda7FJb7TVVXpZgxDN1195zI=&amp;_app_id=central_doc_viewer&amp;center_on_screen=true&amp;width=950&amp;height=800&amp;_dd2=%26f%3Dsld%26c%3Dtrue%26os%3D151044%26oe%3D151053" xr:uid="{00000000-0004-0000-0000-000004000000}"/>
    <hyperlink ref="D3" r:id="rId6" display="fdsup://factset/Doc Viewer Single?float_window=true&amp;positioning_strategy=center_on_screen&amp;_doc_docfn=U2FsdGVkX19XnUQCq50lzOsRM+0t+TqMhYr/IhZysn/4Z9X0i9gttLgyuXPYGntlOhYDzJFh7MF+wG09P4HKumXho5EPQ1NDJYKuy4XKq2w=&amp;_app_id=central_doc_viewer&amp;center_on_screen=true&amp;width=950&amp;height=800&amp;_dd2=%26f%3Dsld%26c%3Dtrue%26os%3D119686%26oe%3D119695" xr:uid="{00000000-0004-0000-0000-000005000000}"/>
    <hyperlink ref="C3" r:id="rId7" display="fdsup://factset/Doc Viewer Single?float_window=true&amp;positioning_strategy=center_on_screen&amp;_doc_docfn=U2FsdGVkX1/Tx7dLryO/8R+FYxPBl4uD9C0sWS+j5m9976rvXhp988YXDI6QOFWhP/RuM14YIAY69Uo2P4E9y0lvHSZRp5wEL7glsJ0P/i4=&amp;_app_id=central_doc_viewer&amp;center_on_screen=true&amp;width=950&amp;height=800&amp;_dd2=%26f%3Dsld%26c%3Dtrue%26os%3D118212%26oe%3D118219" xr:uid="{00000000-0004-0000-0000-000006000000}"/>
    <hyperlink ref="B3" r:id="rId8" display="fdsup://factset/Doc Viewer Single?float_window=true&amp;positioning_strategy=center_on_screen&amp;_doc_docfn=U2FsdGVkX191zOrabC2/bhbriAQfcNMy2KVYiFNgwRb0hxx9li8Eup+Ht+iwFJsT6u9Qr4RXfKIP3k2rmIxevnqhncB/ntOMTdtQ6VaYijI=&amp;_app_id=central_doc_viewer&amp;center_on_screen=true&amp;width=950&amp;height=800&amp;_dd2=%26f%3Dsld%26c%3Dtrue%26os%3D69127%26oe%3D69134" xr:uid="{00000000-0004-0000-0000-000007000000}"/>
    <hyperlink ref="U12" r:id="rId9" display="fdsup://factset/Doc Viewer Single?float_window=true&amp;positioning_strategy=center_on_screen&amp;_doc_docfn=U2FsdGVkX18HcgQvSrqrMEAUQ7G8NNx+7ScPUsY/OfErlITwtAJO6ehVRXGImDFPzuZcGjF8OEgdg3Yai9bdcemem4LShJxiowOrUh/9E7s=&amp;_app_id=central_doc_viewer&amp;center_on_screen=true&amp;width=950&amp;height=800&amp;_dd2=%26f%3Dsld%26c%3Dtrue%26os%3D134575%26oe%3D134584" xr:uid="{00000000-0004-0000-0000-000008000000}"/>
    <hyperlink ref="P12" r:id="rId10" display="fdsup://factset/Doc Viewer Single?float_window=true&amp;positioning_strategy=center_on_screen&amp;_doc_docfn=U2FsdGVkX19gEIBcmSMiKki5aSCWgtDHAs2r8mZxNJ/95eM3ifgoXRwhM0Njd2tDxZr7EDLoP20ROAx0nbDUUsNo62VeTpDUmXdf5fJOQsI=&amp;_app_id=central_doc_viewer&amp;center_on_screen=true&amp;width=950&amp;height=800&amp;_dd2=%26f%3Dsld%26c%3Dtrue%26os%3D134784%26oe%3D134793" xr:uid="{00000000-0004-0000-0000-000009000000}"/>
    <hyperlink ref="K12" r:id="rId11" display="fdsup://factset/Doc Viewer Single?float_window=true&amp;positioning_strategy=center_on_screen&amp;_doc_docfn=U2FsdGVkX1+1alrlBGYqO9RdVJbYbxtT8EqILjNTqTUIJkKEb891pLEq4fhfU/ixSo1Lf0gOmRYtuiBubyi1oQRscKH7DN1QbdcZNrOW474=&amp;_app_id=central_doc_viewer&amp;center_on_screen=true&amp;width=950&amp;height=800&amp;_dd2=%26f%3Dsld%26c%3Dtrue%26os%3D134993%26oe%3D135002" xr:uid="{00000000-0004-0000-0000-00000A000000}"/>
    <hyperlink ref="F12" r:id="rId12" display="fdsup://factset/Doc Viewer Single?float_window=true&amp;positioning_strategy=center_on_screen&amp;_doc_docfn=U2FsdGVkX19KwNUOv3NrEIQj3FV/GC/RFVt8IdB2SIGwAvbCM1OC1m8nV0oTE47KTQk+QYtSmRvwdeKssVK0o12ebXhS/VO6bPc+F9U8nBo=&amp;_app_id=central_doc_viewer&amp;center_on_screen=true&amp;width=950&amp;height=800&amp;_dd2=%26f%3Dsld%26c%3Dtrue%26os%3D134971%26oe%3D134978" xr:uid="{00000000-0004-0000-0000-00000B000000}"/>
    <hyperlink ref="E12" r:id="rId13" display="fdsup://factset/Doc Viewer Single?float_window=true&amp;positioning_strategy=center_on_screen&amp;_doc_docfn=U2FsdGVkX19i1uNM75sURJPN6RtqwbTgFE4GB/7z5AlCVFWAs6o1dQ/wZze+ak3/uSa0LnSnMJalNAi8nuvvZCEtPyGgHN7ypvl88QzM3G0=&amp;_app_id=central_doc_viewer&amp;center_on_screen=true&amp;width=950&amp;height=800&amp;_dd2=%26f%3Dsld%26c%3Dtrue%26os%3D151766%26oe%3D151773" xr:uid="{00000000-0004-0000-0000-00000C000000}"/>
    <hyperlink ref="D12" r:id="rId14" display="fdsup://factset/Doc Viewer Single?float_window=true&amp;positioning_strategy=center_on_screen&amp;_doc_docfn=U2FsdGVkX19DUqGhn2h1tlzhOJn6cbRg6bo/KIY+DEu4tjgdghCoTYdyxTU+eC+kT/4foLNU3ERzWia6sdcuLTnYtUoUUdByHOMf1fjtstc=&amp;_app_id=central_doc_viewer&amp;center_on_screen=true&amp;width=950&amp;height=800&amp;_dd2=%26f%3Dsld%26c%3Dtrue%26os%3D120405%26oe%3D120412" xr:uid="{00000000-0004-0000-0000-00000D000000}"/>
    <hyperlink ref="C12" r:id="rId15" display="fdsup://factset/Doc Viewer Single?float_window=true&amp;positioning_strategy=center_on_screen&amp;_doc_docfn=U2FsdGVkX19ORhCLGnOuxi2wrzjp1SPSt48tecKfUD4qSI3hE9P86yO6ECasWe1Axj2I4tJ/YzsqTKv+dy8/1WjovP9gZRCeadyLK7onpME=&amp;_app_id=central_doc_viewer&amp;center_on_screen=true&amp;width=950&amp;height=800&amp;_dd2=%26f%3Dsld%26c%3Dtrue%26os%3D118725%26oe%3D118732" xr:uid="{00000000-0004-0000-0000-00000E000000}"/>
    <hyperlink ref="B12" r:id="rId16" display="fdsup://factset/Doc Viewer Single?float_window=true&amp;positioning_strategy=center_on_screen&amp;_doc_docfn=U2FsdGVkX1/3PBiU0n4awYgeg+xKu5jcY0Fm47JwOmXkW/uIYd/rCbQwEECJaTuDFZ/zQCE/NOnXDbo9iohkhGgMmNecd/jgUdJifTA8qew=&amp;_app_id=central_doc_viewer&amp;center_on_screen=true&amp;width=950&amp;height=800&amp;_dd2=%26f%3Dsld%26c%3Dtrue%26os%3D69685%26oe%3D69692" xr:uid="{00000000-0004-0000-0000-00000F000000}"/>
    <hyperlink ref="U13" r:id="rId17" display="fdsup://factset/Doc Viewer Single?float_window=true&amp;positioning_strategy=center_on_screen&amp;_doc_docfn=U2FsdGVkX1/sN6Blgh8lUpPRUGQwtQ8cMv9+rxGn/l7IZCeYcAOroSXjLUGEQ0NKYPW639K5aNpNOxOCIbrzCHuldVQptAhPBOahtj85B44=&amp;_app_id=central_doc_viewer&amp;center_on_screen=true&amp;width=950&amp;height=800&amp;_dd2=%26f%3Dsld%26c%3Dtrue%26os%3D135284%26oe%3D135291" xr:uid="{00000000-0004-0000-0000-000010000000}"/>
    <hyperlink ref="P13" r:id="rId18" display="fdsup://factset/Doc Viewer Single?float_window=true&amp;positioning_strategy=center_on_screen&amp;_doc_docfn=U2FsdGVkX1/79ROUouEjtee8IxpXQEMb5e/Dcj5y+95MesdCUaEAj2/H6jCMkqKQ714SUUjalH85WwAtrXV34CuSyvHpLlP3MWqevK6piXU=&amp;_app_id=central_doc_viewer&amp;center_on_screen=true&amp;width=950&amp;height=800&amp;_dd2=%26f%3Dsld%26c%3Dtrue%26os%3D135475%26oe%3D135482" xr:uid="{00000000-0004-0000-0000-000011000000}"/>
    <hyperlink ref="K13" r:id="rId19" display="fdsup://factset/Doc Viewer Single?float_window=true&amp;positioning_strategy=center_on_screen&amp;_doc_docfn=U2FsdGVkX19ryKnzFbZebYp31bjmTFzPJME///Rt3Az+i7wcDhDHKrVRWdkyS8RFKPB4AuujXRf06lm9EOQs4sqJyLxk6+8yccC7eggeBr0=&amp;_app_id=central_doc_viewer&amp;center_on_screen=true&amp;width=950&amp;height=800&amp;_dd2=%26f%3Dsld%26c%3Dtrue%26os%3D135666%26oe%3D135673" xr:uid="{00000000-0004-0000-0000-000012000000}"/>
    <hyperlink ref="F13" r:id="rId20" display="fdsup://factset/Doc Viewer Single?float_window=true&amp;positioning_strategy=center_on_screen&amp;_doc_docfn=U2FsdGVkX18rHQ2bnH+JveNQIr55q2VQ9F9x+TCWFby4Dr+CNux9plo9oI23Os8mzvIwellG48b23779S6mO/Aw8hk0f+dOlB/T4pri8+R8=&amp;_app_id=central_doc_viewer&amp;center_on_screen=true&amp;width=950&amp;height=800&amp;_dd2=%26f%3Dsld%26c%3Dtrue%26os%3D135642%26oe%3D135649" xr:uid="{00000000-0004-0000-0000-000013000000}"/>
    <hyperlink ref="E13" r:id="rId21" display="fdsup://factset/Doc Viewer Single?float_window=true&amp;positioning_strategy=center_on_screen&amp;_doc_docfn=U2FsdGVkX1/zpCn8W/UqB3EfcH6TykX4FfN62HodGTlAkQ2JhMuj1SUBzrEfRY6uLhah5vGTq0qfqWZsHPTSab9itpjHlfEcOBeTehVCxkM=&amp;_app_id=central_doc_viewer&amp;center_on_screen=true&amp;width=950&amp;height=800&amp;_dd2=%26f%3Dsld%26c%3Dtrue%26os%3D152437%26oe%3D152444" xr:uid="{00000000-0004-0000-0000-000014000000}"/>
    <hyperlink ref="D13" r:id="rId22" display="fdsup://factset/Doc Viewer Single?float_window=true&amp;positioning_strategy=center_on_screen&amp;_doc_docfn=U2FsdGVkX19aXjFT09xDdjTokI8OWz/ARtQWAR7fkrz0e0P+F9OuZeVTISyGUMa0kyLqAy4W70PwSBVKqIXcaLkp3BMBXk8SWAcEssPcMR0=&amp;_app_id=central_doc_viewer&amp;center_on_screen=true&amp;width=950&amp;height=800&amp;_dd2=%26f%3Dsld%26c%3Dtrue%26os%3D121076%26oe%3D121083" xr:uid="{00000000-0004-0000-0000-000015000000}"/>
    <hyperlink ref="C13" r:id="rId23" display="fdsup://factset/Doc Viewer Single?float_window=true&amp;positioning_strategy=center_on_screen&amp;_doc_docfn=U2FsdGVkX1/QKW0Ezc/w2UWdqDctR2mKYgg1GNe7t7n6Z//dVx04KPq65rlm3ntacQGSmiLvAP+CronpMerGsziZT5V9iyNZSmPy1Zra5xk=&amp;_app_id=central_doc_viewer&amp;center_on_screen=true&amp;width=950&amp;height=800&amp;_dd2=%26f%3Dsld%26c%3Dtrue%26os%3D119204%26oe%3D119210" xr:uid="{00000000-0004-0000-0000-000016000000}"/>
    <hyperlink ref="B13" r:id="rId24" display="fdsup://factset/Doc Viewer Single?float_window=true&amp;positioning_strategy=center_on_screen&amp;_doc_docfn=U2FsdGVkX1+zWvfJqUnoS+/BYUCO7+vFJ9PopBYAUL5HBMqTa1WlDM1U8CcBFEKiDtId8h3RhJN1IS7QGMy4YtuFtcy9jTaLjtK0meAmnR0=&amp;_app_id=central_doc_viewer&amp;center_on_screen=true&amp;width=950&amp;height=800&amp;_dd2=%26f%3Dsld%26c%3Dtrue%26os%3D70207%26oe%3D70213" xr:uid="{00000000-0004-0000-0000-000017000000}"/>
    <hyperlink ref="U21" r:id="rId25" display="fdsup://factset/Doc Viewer Single?float_window=true&amp;positioning_strategy=center_on_screen&amp;_doc_docfn=U2FsdGVkX19rIQVVXXwnj+FhzdYMmeAU8MMy2rUB1R19UeXeOnO5Enn6E5NvF4NA8RaJA7y5jK/F9EEQE/Ix9vC/vfNfF07Fwrd4Gm1359Y=&amp;_app_id=central_doc_viewer&amp;center_on_screen=true&amp;width=950&amp;height=800&amp;_dd2=%26f%3Dsld%26c%3Dtrue%26os%3D135997%26oe%3D136006" xr:uid="{00000000-0004-0000-0000-000018000000}"/>
    <hyperlink ref="P21" r:id="rId26" display="fdsup://factset/Doc Viewer Single?float_window=true&amp;positioning_strategy=center_on_screen&amp;_doc_docfn=U2FsdGVkX190pxVipHXPbMKUU/tsuTqbv5bICkWqDUwWy/UGhStSdSQvOC6rN4RiKb2FwRhaZpt9RGudEcio4sPfv8FbZ+p8X444PDVj47w=&amp;_app_id=central_doc_viewer&amp;center_on_screen=true&amp;width=950&amp;height=800&amp;_dd2=%26f%3Dsld%26c%3Dtrue%26os%3D136210%26oe%3D136219" xr:uid="{00000000-0004-0000-0000-000019000000}"/>
    <hyperlink ref="K21" r:id="rId27" display="fdsup://factset/Doc Viewer Single?float_window=true&amp;positioning_strategy=center_on_screen&amp;_doc_docfn=U2FsdGVkX19ibQpZzOB1qSWL+CWAKUkwa3eT1Ocip7ukoO8jgVpAfSnUjwVPWNN/+UC2lDrv55Qz2WJsDt6IFn+Mmo2nHT62C6nGmN1JOO8=&amp;_app_id=central_doc_viewer&amp;center_on_screen=true&amp;width=950&amp;height=800&amp;_dd2=%26f%3Dsld%26c%3Dtrue%26os%3D136423%26oe%3D136432" xr:uid="{00000000-0004-0000-0000-00001A000000}"/>
    <hyperlink ref="F21" r:id="rId28" display="fdsup://factset/Doc Viewer Single?float_window=true&amp;positioning_strategy=center_on_screen&amp;_doc_docfn=U2FsdGVkX1+uWHRWW31tmIqrjI+nDLSfWHxYLf7YS4gdxACzw44smUt9vaRfzZ2NtbLD+moT0yvjPDEPjdgI15am1EBrHfVvBuMilT0bTx4=&amp;_app_id=central_doc_viewer&amp;center_on_screen=true&amp;width=950&amp;height=800&amp;_dd2=%26f%3Dsld%26c%3Dtrue%26os%3D136398%26oe%3D136406" xr:uid="{00000000-0004-0000-0000-00001B000000}"/>
    <hyperlink ref="E21" r:id="rId29" display="fdsup://factset/Doc Viewer Single?float_window=true&amp;positioning_strategy=center_on_screen&amp;_doc_docfn=U2FsdGVkX19cvnnFBjFDhLduBnqm8KXhXpVNAqrqO8OrDFgtUHnlpjav+NglpN6qm9+L7VFZ3iA7AYKksQ60CJe+HM+XQszT3HA1oAW8SB8=&amp;_app_id=central_doc_viewer&amp;center_on_screen=true&amp;width=950&amp;height=800&amp;_dd2=%26f%3Dsld%26c%3Dtrue%26os%3D153191%26oe%3D153199" xr:uid="{00000000-0004-0000-0000-00001C000000}"/>
    <hyperlink ref="D21" r:id="rId30" display="fdsup://factset/Doc Viewer Single?float_window=true&amp;positioning_strategy=center_on_screen&amp;_doc_docfn=U2FsdGVkX19Fh158clSp93VHYl16WxKa9+CDJCgtOmNbQuh357d5k3gN2NJC1y/7sx579A0h+pOFLnuR+DuKnm6knv9JCu9AEnciKBWwvCU=&amp;_app_id=central_doc_viewer&amp;center_on_screen=true&amp;width=950&amp;height=800&amp;_dd2=%26f%3Dsld%26c%3Dtrue%26os%3D121828%26oe%3D121836" xr:uid="{00000000-0004-0000-0000-00001D000000}"/>
    <hyperlink ref="C21" r:id="rId31" display="fdsup://factset/Doc Viewer Single?float_window=true&amp;positioning_strategy=center_on_screen&amp;_doc_docfn=U2FsdGVkX1+gMNa4N6a1eKLBhWAuIQlEwDkf6T8D5PwCVRFbXhDmzkLogaJeQAI2LJm6SaeIP0GLf8AD8hs/CgDDEIzPdA+35LsF9H59WNI=&amp;_app_id=central_doc_viewer&amp;center_on_screen=true&amp;width=950&amp;height=800&amp;_dd2=%26f%3Dsld%26c%3Dtrue%26os%3D119744%26oe%3D119752" xr:uid="{00000000-0004-0000-0000-00001E000000}"/>
    <hyperlink ref="B21" r:id="rId32" display="fdsup://factset/Doc Viewer Single?float_window=true&amp;positioning_strategy=center_on_screen&amp;_doc_docfn=U2FsdGVkX196IkaZy9hqoSjmy7vYZ4jVpobTP0elGd5ZDP1EDFdjQ0aeBNfjkM0KRTWTzO/6S3CLE27K9upUyFqWFTfu7c+lQjfS9RGyF5E=&amp;_app_id=central_doc_viewer&amp;center_on_screen=true&amp;width=950&amp;height=800&amp;_dd2=%26f%3Dsld%26c%3Dtrue%26os%3D70792%26oe%3D70800" xr:uid="{00000000-0004-0000-0000-00001F000000}"/>
    <hyperlink ref="C31" r:id="rId33" display="fdsup://factset/Doc Viewer Single?float_window=true&amp;positioning_strategy=center_on_screen&amp;_doc_docfn=U2FsdGVkX18MAg+3DV1tEfyp8mhLXF+7TSnhjQJOHxMXZ34Qfiywh74xoFJe7mMttExNXPMDeKMTi+GThtrc7EhfOysDv9iNQcORRW8os1E=&amp;_app_id=central_doc_viewer&amp;center_on_screen=true&amp;width=950&amp;height=800&amp;_dd2=%26f%3Dsld%26c%3Dtrue%26os%3D120266%26oe%3D120272" xr:uid="{00000000-0004-0000-0000-000020000000}"/>
    <hyperlink ref="B31" r:id="rId34" display="fdsup://factset/Doc Viewer Single?float_window=true&amp;positioning_strategy=center_on_screen&amp;_doc_docfn=U2FsdGVkX1+kEBrLw0RFBxNJnhuR0KmuxUXIsPioc7VeNFki/nAZ/FdeZ4h17g7mQ6Hci0Abjvi4lgsO515gkg2jMpeiciQ5Luk5sz5f0kw=&amp;_app_id=central_doc_viewer&amp;center_on_screen=true&amp;width=950&amp;height=800&amp;_dd2=%26f%3Dsld%26c%3Dtrue%26os%3D71364%26oe%3D71365" xr:uid="{00000000-0004-0000-0000-000021000000}"/>
    <hyperlink ref="U32" r:id="rId35" display="fdsup://factset/Doc Viewer Single?float_window=true&amp;positioning_strategy=center_on_screen&amp;_doc_docfn=U2FsdGVkX180vf3fXWxRmY+i2I9LEfTCrr3loJGd5Rq+l83gFUKGws/fPMYmKfdLTypB/4AgIVSRCmiZVYbRtIxrwDFwrLAIVF0ztktZg1k=&amp;_app_id=central_doc_viewer&amp;center_on_screen=true&amp;width=950&amp;height=800&amp;_dd2=%26f%3Dsld%26c%3Dtrue%26os%3D136771%26oe%3D136776" xr:uid="{00000000-0004-0000-0000-000022000000}"/>
    <hyperlink ref="P32" r:id="rId36" display="fdsup://factset/Doc Viewer Single?float_window=true&amp;positioning_strategy=center_on_screen&amp;_doc_docfn=U2FsdGVkX19aiSfF+QF5IK8UKTYcAeb5dppVg9HzjjLo5h2GPCf6a9tZzIeBsA/hiURfdXloX1Vr7sX3paNgED+JpZiROd4MfT/ZUD8NJpk=&amp;_app_id=central_doc_viewer&amp;center_on_screen=true&amp;width=950&amp;height=800&amp;_dd2=%26f%3Dsld%26c%3Dtrue%26os%3D136985%26oe%3D136990" xr:uid="{00000000-0004-0000-0000-000023000000}"/>
    <hyperlink ref="K32" r:id="rId37" display="fdsup://factset/Doc Viewer Single?float_window=true&amp;positioning_strategy=center_on_screen&amp;_doc_docfn=U2FsdGVkX18ilgwbBjj7BAZUVAahEoNKRTXrm19uBDufQElVzHoxnISynuBYR8M4M1T8LxRkFggvDlIBvsxqXOa1m4mi1WojgK12yZU/mxM=&amp;_app_id=central_doc_viewer&amp;center_on_screen=true&amp;width=950&amp;height=800&amp;_dd2=%26f%3Dsld%26c%3Dtrue%26os%3D137199%26oe%3D137204" xr:uid="{00000000-0004-0000-0000-000024000000}"/>
    <hyperlink ref="F32" r:id="rId38" display="fdsup://factset/Doc Viewer Single?float_window=true&amp;positioning_strategy=center_on_screen&amp;_doc_docfn=U2FsdGVkX185/6z80kEHW61zA7+CHFNkyulVt6Ls2h5Aab2gWUNlZ3HzzmWgzNoKMEk761h8OtSRVw2GD2ltHvGwJobZwVYynj9J8XMstG8=&amp;_app_id=central_doc_viewer&amp;center_on_screen=true&amp;width=950&amp;height=800&amp;_dd2=%26f%3Dsld%26c%3Dtrue%26os%3D137173%26oe%3D137178" xr:uid="{00000000-0004-0000-0000-000025000000}"/>
    <hyperlink ref="E32" r:id="rId39" display="fdsup://factset/Doc Viewer Single?float_window=true&amp;positioning_strategy=center_on_screen&amp;_doc_docfn=U2FsdGVkX18lVNdlJGHx8p98Wjw8F9jibH8oRviwjqts6/GWLvStvvWQEr++r2S9RLEIdhpHTlw+4I5UNExtE0dRT6oMswIxvJfDLU1ArH0=&amp;_app_id=central_doc_viewer&amp;center_on_screen=true&amp;width=950&amp;height=800&amp;_dd2=%26f%3Dsld%26c%3Dtrue%26os%3D153951%26oe%3D153956" xr:uid="{00000000-0004-0000-0000-000026000000}"/>
    <hyperlink ref="D32" r:id="rId40" display="fdsup://factset/Doc Viewer Single?float_window=true&amp;positioning_strategy=center_on_screen&amp;_doc_docfn=U2FsdGVkX1/Lvh+Bw5+9rRt74RkJj9UCo9JjR7u9k3vl2W0KrNEjwL2aGFtYRmzdWWY4NcoRNPRUIxtSUutNh3ogzCy6bk+FVtYLIVkqU5o=&amp;_app_id=central_doc_viewer&amp;center_on_screen=true&amp;width=950&amp;height=800&amp;_dd2=%26f%3Dsld%26c%3Dtrue%26os%3D122588%26oe%3D122593" xr:uid="{00000000-0004-0000-0000-000027000000}"/>
    <hyperlink ref="C32" r:id="rId41" display="fdsup://factset/Doc Viewer Single?float_window=true&amp;positioning_strategy=center_on_screen&amp;_doc_docfn=U2FsdGVkX18eDVNVg4qxaeAW/Y4j6tQ1EQEDu5GHJNfxL4/sCTx0VIz3JucSTi/3yDR1FhPN4z6prRINjjLAoZ52acAW1jMs8oan7A6xSqs=&amp;_app_id=central_doc_viewer&amp;center_on_screen=true&amp;width=950&amp;height=800&amp;_dd2=%26f%3Dsld%26c%3Dtrue%26os%3D120810%26oe%3D120815" xr:uid="{00000000-0004-0000-0000-000028000000}"/>
    <hyperlink ref="B32" r:id="rId42" display="fdsup://factset/Doc Viewer Single?float_window=true&amp;positioning_strategy=center_on_screen&amp;_doc_docfn=U2FsdGVkX18QSId9iToZZAbzy7UylTTiqEUFH7Ei7x2Qy4PgJahTJ0sH5RpIne3KUtT4zJ5cya60cuQfgQSlkAKF8FoF5Dlox/vykQC28Aw=&amp;_app_id=central_doc_viewer&amp;center_on_screen=true&amp;width=950&amp;height=800&amp;_dd2=%26f%3Dsld%26c%3Dtrue%26os%3D71948%26oe%3D71953" xr:uid="{00000000-0004-0000-0000-000029000000}"/>
    <hyperlink ref="U33" r:id="rId43" display="fdsup://factset/Doc Viewer Single?float_window=true&amp;positioning_strategy=center_on_screen&amp;_doc_docfn=U2FsdGVkX19hCWjnTVUQNsCKfLl/AoC/o0s9N7Q8C21dPXNoJJVz9ROnMM0Wa7I+ONqpQQuU6g8F9UX5zxxihvIA3djhSfPSZUA4wZmHxOQ=&amp;_app_id=central_doc_viewer&amp;center_on_screen=true&amp;width=950&amp;height=800&amp;_dd2=%26f%3Dsld%26c%3Dtrue%26os%3D137503%26oe%3D137504" xr:uid="{00000000-0004-0000-0000-00002A000000}"/>
    <hyperlink ref="P33" r:id="rId44" display="fdsup://factset/Doc Viewer Single?float_window=true&amp;positioning_strategy=center_on_screen&amp;_doc_docfn=U2FsdGVkX1/CifRGMxZlYGCbdZABSRhZGb2vrJ40JfcT3oYMfUH2XvVt1XRu3gjx/z3a23BgL8fn21WDOMmR5hO8g8jI4pSyFYMNAAIT1y4=&amp;_app_id=central_doc_viewer&amp;center_on_screen=true&amp;width=950&amp;height=800&amp;_dd2=%26f%3Dsld%26c%3Dtrue%26os%3D137699%26oe%3D137704" xr:uid="{00000000-0004-0000-0000-00002B000000}"/>
    <hyperlink ref="K33" r:id="rId45" display="fdsup://factset/Doc Viewer Single?float_window=true&amp;positioning_strategy=center_on_screen&amp;_doc_docfn=U2FsdGVkX1833pJlxjJwQaIbFaKwmZDu3b65aejJ+YZeA0oqaDXoqiBPhkgqTPp8ea3s1JxQSX/br4+xzFp46d7UCNpVkSqSyg28mahK02o=&amp;_app_id=central_doc_viewer&amp;center_on_screen=true&amp;width=950&amp;height=800&amp;_dd2=%26f%3Dsld%26c%3Dtrue%26os%3D137893%26oe%3D137894" xr:uid="{00000000-0004-0000-0000-00002C000000}"/>
    <hyperlink ref="F33" r:id="rId46" display="fdsup://factset/Doc Viewer Single?float_window=true&amp;positioning_strategy=center_on_screen&amp;_doc_docfn=U2FsdGVkX1/Apn+TjDhOm563OZZP62D1smUeget8gZjwI/SiWX6mNl/CMQbnQjMPJnpQH0GbcxvIx02znyNzBC7YyeNoWT8LDEjRZBzopQM=&amp;_app_id=central_doc_viewer&amp;center_on_screen=true&amp;width=950&amp;height=800&amp;_dd2=%26f%3Dsld%26c%3Dtrue%26os%3D137867%26oe%3D137868" xr:uid="{00000000-0004-0000-0000-00002D000000}"/>
    <hyperlink ref="U34" r:id="rId47" display="fdsup://factset/Doc Viewer Single?float_window=true&amp;positioning_strategy=center_on_screen&amp;_doc_docfn=U2FsdGVkX19CJmfDr+MdF2ji/QI5Jv7rJ7zNRADMOyXknKnOJ2AM8hM+UrLBq9V+Vpqn1/MTHMRDUkDV3IVoHB9X+LjPzR9ITQLwGjeaXtU=&amp;_app_id=central_doc_viewer&amp;center_on_screen=true&amp;width=950&amp;height=800&amp;_dd2=%26f%3Dsld%26c%3Dtrue%26os%3D138188%26oe%3D138195" xr:uid="{00000000-0004-0000-0000-00002E000000}"/>
    <hyperlink ref="P34" r:id="rId48" display="fdsup://factset/Doc Viewer Single?float_window=true&amp;positioning_strategy=center_on_screen&amp;_doc_docfn=U2FsdGVkX1+xcj1X08wexgoGaun5FIQMgewirzg2hm1Ma+8gD+9sTiydiKwwi6QUgIbwfnNFfitE1SoDbMu6MBQRMsi9hLRdlOsRGxzEb6s=&amp;_app_id=central_doc_viewer&amp;center_on_screen=true&amp;width=950&amp;height=800&amp;_dd2=%26f%3Dsld%26c%3Dtrue%26os%3D138386%26oe%3D138392" xr:uid="{00000000-0004-0000-0000-00002F000000}"/>
    <hyperlink ref="K34" r:id="rId49" display="fdsup://factset/Doc Viewer Single?float_window=true&amp;positioning_strategy=center_on_screen&amp;_doc_docfn=U2FsdGVkX1/mo4/F6qajxjBI8r38zbG6kDVrXO8/Nw5OR84EPSskvsnDJAWX6ykEwqZiRPgSJHjON0TX4dy+h3GI+0B0RKNnGoDQqYrfZVQ=&amp;_app_id=central_doc_viewer&amp;center_on_screen=true&amp;width=950&amp;height=800&amp;_dd2=%26f%3Dsld%26c%3Dtrue%26os%3D138583%26oe%3D138589" xr:uid="{00000000-0004-0000-0000-000030000000}"/>
    <hyperlink ref="F34" r:id="rId50" display="fdsup://factset/Doc Viewer Single?float_window=true&amp;positioning_strategy=center_on_screen&amp;_doc_docfn=U2FsdGVkX19F2lL1OQs2D0XnkCx61pHr/nr1CBA+C8h/LNEZ/pY7OGv7UJxButvViSY3ynJniMV9BJIXMQZqF6547WNf5BWoLrtFSmiGdr0=&amp;_app_id=central_doc_viewer&amp;center_on_screen=true&amp;width=950&amp;height=800&amp;_dd2=%26f%3Dsld%26c%3Dtrue%26os%3D138555%26oe%3D138561" xr:uid="{00000000-0004-0000-0000-000031000000}"/>
    <hyperlink ref="E34" r:id="rId51" display="fdsup://factset/Doc Viewer Single?float_window=true&amp;positioning_strategy=center_on_screen&amp;_doc_docfn=U2FsdGVkX1/3YLQgRCTVxq/7QFS73vudriH4EQC9XKA12zZ4a92mlBfroRnTpf09UCpN9NQxORo6OOF+nkHqprKL+IUR5bpygi4gS+a8jwc=&amp;_app_id=central_doc_viewer&amp;center_on_screen=true&amp;width=950&amp;height=800&amp;_dd2=%26f%3Dsld%26c%3Dtrue%26os%3D154643%26oe%3D154649" xr:uid="{00000000-0004-0000-0000-000032000000}"/>
    <hyperlink ref="D34" r:id="rId52" display="fdsup://factset/Doc Viewer Single?float_window=true&amp;positioning_strategy=center_on_screen&amp;_doc_docfn=U2FsdGVkX184nt8QyjaXqgJWUo3jj00nP/mtyewe4PyzpT4a6G3Wh9QOczTk1e70kQd2TQPgtackKDdzvswgr1cDzSEk9n0Ybm0g/Vo2hg0=&amp;_app_id=central_doc_viewer&amp;center_on_screen=true&amp;width=950&amp;height=800&amp;_dd2=%26f%3Dsld%26c%3Dtrue%26os%3D123280%26oe%3D123286" xr:uid="{00000000-0004-0000-0000-000033000000}"/>
    <hyperlink ref="C34" r:id="rId53" display="fdsup://factset/Doc Viewer Single?float_window=true&amp;positioning_strategy=center_on_screen&amp;_doc_docfn=U2FsdGVkX1/WS/nkSoZq6DTpk3fuRCZjyT6jhsnzH0aPcETArJo6N4K6Z843vwmEOIMot8DFuUuNgVxDKctuiB5p89OWwnws5GYF0h0/MBA=&amp;_app_id=central_doc_viewer&amp;center_on_screen=true&amp;width=950&amp;height=800&amp;_dd2=%26f%3Dsld%26c%3Dtrue%26os%3D121305%26oe%3D121311" xr:uid="{00000000-0004-0000-0000-000034000000}"/>
    <hyperlink ref="B34" r:id="rId54" display="fdsup://factset/Doc Viewer Single?float_window=true&amp;positioning_strategy=center_on_screen&amp;_doc_docfn=U2FsdGVkX1+l2m5SvWKBd7PyuB8WIiqQhM1n6G1mBTSm1qOmkRZ82wx0uzjubDwj89rilcHSxVgeILL6MCbgNjNqB/Jh04KiLWeV8WUtvvs=&amp;_app_id=central_doc_viewer&amp;center_on_screen=true&amp;width=950&amp;height=800&amp;_dd2=%26f%3Dsld%26c%3Dtrue%26os%3D72488%26oe%3D72494" xr:uid="{00000000-0004-0000-0000-000035000000}"/>
    <hyperlink ref="U44" r:id="rId55" display="fdsup://factset/Doc Viewer Single?float_window=true&amp;positioning_strategy=center_on_screen&amp;_doc_docfn=U2FsdGVkX19QnExcHIOrD4tmbMGfLj0HomCxyVdQ0xo1lCIUxFRR6XbVMF5/hinuzzHnts0yM5/Oz/4lyXKQo7P5Ezfe0Qq8UNA3/tJRy/w=&amp;_app_id=central_doc_viewer&amp;center_on_screen=true&amp;width=950&amp;height=800&amp;_dd2=%26f%3Dsld%26c%3Dtrue%26os%3D138908%26oe%3D138916" xr:uid="{00000000-0004-0000-0000-000036000000}"/>
    <hyperlink ref="P44" r:id="rId56" display="fdsup://factset/Doc Viewer Single?float_window=true&amp;positioning_strategy=center_on_screen&amp;_doc_docfn=U2FsdGVkX18QXL4Z7/ixRPg/ft8PbmrgoUiKJ2tnRk35h65QEc/kxoOzzhb9eKpFi1nHezJVzEyhKldDrYSkoUIVD4BtKyjrjBgeRmQ/HFM=&amp;_app_id=central_doc_viewer&amp;center_on_screen=true&amp;width=950&amp;height=800&amp;_dd2=%26f%3Dsld%26c%3Dtrue%26os%3D139124%26oe%3D139132" xr:uid="{00000000-0004-0000-0000-000037000000}"/>
    <hyperlink ref="K44" r:id="rId57" display="fdsup://factset/Doc Viewer Single?float_window=true&amp;positioning_strategy=center_on_screen&amp;_doc_docfn=U2FsdGVkX1/SEpiCNsH/dgKI0NtTqhfwid2qat0jJCEXd8HxQxzBBqEH5f9j8hfs8hjQfrHm5Thnnapwth+4UUq8z6vgUJGxEmHdkYdZX6Y=&amp;_app_id=central_doc_viewer&amp;center_on_screen=true&amp;width=950&amp;height=800&amp;_dd2=%26f%3Dsld%26c%3Dtrue%26os%3D139339%26oe%3D139346" xr:uid="{00000000-0004-0000-0000-000038000000}"/>
    <hyperlink ref="F44" r:id="rId58" display="fdsup://factset/Doc Viewer Single?float_window=true&amp;positioning_strategy=center_on_screen&amp;_doc_docfn=U2FsdGVkX18RRd1D5/9z9jwam9gOKKIuLQohP+ls01D4j1yiGUmOtTxNTZfnUH7Pe2iLYPSgu929f+YxXi9sgCsukg9IVoCFqBXjxF8fLMU=&amp;_app_id=central_doc_viewer&amp;center_on_screen=true&amp;width=950&amp;height=800&amp;_dd2=%26f%3Dsld%26c%3Dtrue%26os%3D139268%26oe%3D139275" xr:uid="{00000000-0004-0000-0000-000039000000}"/>
    <hyperlink ref="E44" r:id="rId59" display="fdsup://factset/Doc Viewer Single?float_window=true&amp;positioning_strategy=center_on_screen&amp;_doc_docfn=U2FsdGVkX1/BDPMOLJ6jOjlQh+yvyAp+9R4yJxebGyMqGX5ednrL9QQv8KwEz92+G0ETScbziBVvxNOGuzFr0hI0Ptf7LoLHtZcXugWz5d0=&amp;_app_id=central_doc_viewer&amp;center_on_screen=true&amp;width=950&amp;height=800&amp;_dd2=%26f%3Dsld%26c%3Dtrue%26os%3D155354%26oe%3D155361" xr:uid="{00000000-0004-0000-0000-00003A000000}"/>
    <hyperlink ref="D44" r:id="rId60" display="fdsup://factset/Doc Viewer Single?float_window=true&amp;positioning_strategy=center_on_screen&amp;_doc_docfn=U2FsdGVkX18Qq4wCbvqeO/KJIoP4fDscY51RO/rEx5ooR04oCb0mfDWx6OCijiF+bar7MoAodinSrukjyu/dx9B/ZzjTQrv0w6XufGKk2/k=&amp;_app_id=central_doc_viewer&amp;center_on_screen=true&amp;width=950&amp;height=800&amp;_dd2=%26f%3Dsld%26c%3Dtrue%26os%3D123991%26oe%3D123998" xr:uid="{00000000-0004-0000-0000-00003B000000}"/>
    <hyperlink ref="C44" r:id="rId61" display="fdsup://factset/Doc Viewer Single?float_window=true&amp;positioning_strategy=center_on_screen&amp;_doc_docfn=U2FsdGVkX19mmq9fAmeFVXs0pah4u2n+nh5sqt7sVRyebd7sOaPCf6c6m6dizalNADeMaSeax681nhRA3VlpgWRHkKqHyJzuVX2jzdmwNZM=&amp;_app_id=central_doc_viewer&amp;center_on_screen=true&amp;width=950&amp;height=800&amp;_dd2=%26f%3Dsld%26c%3Dtrue%26os%3D121814%26oe%3D121821" xr:uid="{00000000-0004-0000-0000-00003C000000}"/>
    <hyperlink ref="B44" r:id="rId62" display="fdsup://factset/Doc Viewer Single?float_window=true&amp;positioning_strategy=center_on_screen&amp;_doc_docfn=U2FsdGVkX18K47CvXz7tP7oJXnNzbbeRQHNFtdnAc7urgMy12DC5Dtn5AWvUlTX+9OUsu5mWxnraAWq1tmx1MzM4ryGfmpZyWCTJYfPpYfY=&amp;_app_id=central_doc_viewer&amp;center_on_screen=true&amp;width=950&amp;height=800&amp;_dd2=%26f%3Dsld%26c%3Dtrue%26os%3D73042%26oe%3D73049" xr:uid="{00000000-0004-0000-0000-00003D000000}"/>
    <hyperlink ref="B47" r:id="rId63" display="fdsup://factset/Doc Viewer Single?float_window=true&amp;positioning_strategy=center_on_screen&amp;_doc_docfn=U2FsdGVkX19SaXtTjvHo13BduxxRb+kRR1RBP56IqvvGHSdX0/k4hcPHJ5zhqJYV6VASBKX1621ZQ0NnFOzalAxsFQtolnV5J+rL9Jh6nXI=&amp;_app_id=central_doc_viewer&amp;center_on_screen=true&amp;width=950&amp;height=800&amp;_dd2=%26f%3Dsld%26c%3Dtrue%26os%3D73612%26oe%3D73619" xr:uid="{00000000-0004-0000-0000-00003E000000}"/>
    <hyperlink ref="U39" r:id="rId64" display="fdsup://factset/Doc Viewer Single?float_window=true&amp;positioning_strategy=center_on_screen&amp;_doc_docfn=U2FsdGVkX1/y1tKsm3rYnFb4mOCW8lQ6Ot0eHKP4CXWT7TCUxctHQNUCeZmUY1gAIi8DaN2vIBCM8E+U9UdihbZ+9WNW42I3QuIZLymId2o=&amp;_app_id=central_doc_viewer&amp;center_on_screen=true&amp;width=950&amp;height=800&amp;_dd2=%26f%3Dsld%26c%3Dtrue%26os%3D139652%26oe%3D139656" xr:uid="{00000000-0004-0000-0000-00003F000000}"/>
    <hyperlink ref="P39" r:id="rId65" display="fdsup://factset/Doc Viewer Single?float_window=true&amp;positioning_strategy=center_on_screen&amp;_doc_docfn=U2FsdGVkX1+HNYhwy3Yr/CuJtRnjLiuUsB+cKNgK1zFpK0Rc56by4sEhccxJY2n22s3FCgfexHAiU3n/+5ZmM7NOlY0CQQGS3x/xoJBFyxs=&amp;_app_id=central_doc_viewer&amp;center_on_screen=true&amp;width=950&amp;height=800&amp;_dd2=%26f%3Dsld%26c%3Dtrue%26os%3D139856%26oe%3D139859" xr:uid="{00000000-0004-0000-0000-000040000000}"/>
    <hyperlink ref="K39" r:id="rId66" display="fdsup://factset/Doc Viewer Single?float_window=true&amp;positioning_strategy=center_on_screen&amp;_doc_docfn=U2FsdGVkX1/PFWIh2KrTn8mzflHh85aBRRLRudO4ksAl+dU1xO2gywC3f4nzNbvQEPi1Kzbj9vqJiaq8E5+noCotmvTA7mM/t8+Yg+nQWPc=&amp;_app_id=central_doc_viewer&amp;center_on_screen=true&amp;width=950&amp;height=800&amp;_dd2=%26f%3Dsld%26c%3Dtrue%26os%3D140059%26oe%3D140062" xr:uid="{00000000-0004-0000-0000-000041000000}"/>
    <hyperlink ref="F39" r:id="rId67" display="fdsup://factset/Doc Viewer Single?float_window=true&amp;positioning_strategy=center_on_screen&amp;_doc_docfn=U2FsdGVkX1/a3hhKPYgnqVlybSV7S+6cjJX+jUT7iHDEtNOjWqDCrJYrxbEizMvFWzJty5JofOKa+IDxaI6gaePDySMAciZ7oUXDesUCiac=&amp;_app_id=central_doc_viewer&amp;center_on_screen=true&amp;width=950&amp;height=800&amp;_dd2=%26f%3Dsld%26c%3Dtrue%26os%3D139978%26oe%3D139981" xr:uid="{00000000-0004-0000-0000-000042000000}"/>
    <hyperlink ref="E39" r:id="rId68" display="fdsup://factset/Doc Viewer Single?float_window=true&amp;positioning_strategy=center_on_screen&amp;_doc_docfn=U2FsdGVkX1/Br4Dy6l0nuQc84zVX4Qw72Z6b/kEd1oQeHnpiLbgYceG9XrI+wcSCY7n+iQPY0Olz7rBy29UtPGD2Qycun4k7fGAxH2neRaU=&amp;_app_id=central_doc_viewer&amp;center_on_screen=true&amp;width=950&amp;height=800&amp;_dd2=%26f%3Dsld%26c%3Dtrue%26os%3D156064%26oe%3D156067" xr:uid="{00000000-0004-0000-0000-000043000000}"/>
    <hyperlink ref="D39" r:id="rId69" display="fdsup://factset/Doc Viewer Single?float_window=true&amp;positioning_strategy=center_on_screen&amp;_doc_docfn=U2FsdGVkX18Y/6H85z3Gzw2ku/TGMw/DPH4J3X5i0pNvWAWL/TbAhpTBafb4Q5TN5faORM8NfomAp9+NNKhZBNs89yHCQ4T0iddjFWvO6AM=&amp;_app_id=central_doc_viewer&amp;center_on_screen=true&amp;width=950&amp;height=800&amp;_dd2=%26f%3Dsld%26c%3Dtrue%26os%3D124701%26oe%3D124704" xr:uid="{00000000-0004-0000-0000-000044000000}"/>
    <hyperlink ref="C39" r:id="rId70" display="fdsup://factset/Doc Viewer Single?float_window=true&amp;positioning_strategy=center_on_screen&amp;_doc_docfn=U2FsdGVkX19NVDvzsrvTuyPUd16P1cXUMdRuE7wp9+QdLNuvbzYNK5dZGtPnQyvOwfb8+e/ehd64+ylKIBrjYO/JiCXVsivIHu5Ydf2qcZs=&amp;_app_id=central_doc_viewer&amp;center_on_screen=true&amp;width=950&amp;height=800&amp;_dd2=%26f%3Dsld%26c%3Dtrue%26os%3D122331%26oe%3D122336" xr:uid="{00000000-0004-0000-0000-000045000000}"/>
    <hyperlink ref="B39" r:id="rId71" display="fdsup://factset/Doc Viewer Single?float_window=true&amp;positioning_strategy=center_on_screen&amp;_doc_docfn=U2FsdGVkX18cpL+Tm4bWlIM7KQZkePt3TtNgrLZ08cE/FVm89M2zNdW2QJyv2acLQgvBJcSSYwCviH/QviR+F8EhgHWdWbgb9YQY6JUzAgU=&amp;_app_id=central_doc_viewer&amp;center_on_screen=true&amp;width=950&amp;height=800&amp;_dd2=%26f%3Dsld%26c%3Dtrue%26os%3D74155%26oe%3D74160" xr:uid="{00000000-0004-0000-0000-000046000000}"/>
    <hyperlink ref="U49" r:id="rId72" display="fdsup://factset/Doc Viewer Single?float_window=true&amp;positioning_strategy=center_on_screen&amp;_doc_docfn=U2FsdGVkX18SunAWIJh4ONkQKolSIPfnYwoZMy3yTWjm2P41Gom0OcC2BTMHQ4rLzvPOeMZkpnDR7EepQ6jiACQrQPM34rumgK3L1MTFqVg=&amp;_app_id=central_doc_viewer&amp;center_on_screen=true&amp;width=950&amp;height=800&amp;_dd2=%26f%3Dsld%26c%3Dtrue%26os%3D140513%26oe%3D140519" xr:uid="{00000000-0004-0000-0000-000047000000}"/>
    <hyperlink ref="P49" r:id="rId73" display="fdsup://factset/Doc Viewer Single?float_window=true&amp;positioning_strategy=center_on_screen&amp;_doc_docfn=U2FsdGVkX1/9uhXfwcumtY+OiKeI6GSi3WX5CV7cqopN/ROfSXjBpnJ1cpDVkuzl3Nu8soZx2uH8JENAyJZYP1vgeBjM+AVv9JnyZMNBJjc=&amp;_app_id=central_doc_viewer&amp;center_on_screen=true&amp;width=950&amp;height=800&amp;_dd2=%26f%3Dsld%26c%3Dtrue%26os%3D140798%26oe%3D140804" xr:uid="{00000000-0004-0000-0000-000048000000}"/>
    <hyperlink ref="K49" r:id="rId74" display="fdsup://factset/Doc Viewer Single?float_window=true&amp;positioning_strategy=center_on_screen&amp;_doc_docfn=U2FsdGVkX1+MwenFPiqOOZujJ8wVOLdm4xI3LgEgWYIrNKLoG5ye5WffZMMblg9DKd8XpAiGAkgXiO6kJPqUoOapY2tVGowmEu0Mdvr/Idc=&amp;_app_id=central_doc_viewer&amp;center_on_screen=true&amp;width=950&amp;height=800&amp;_dd2=%26f%3Dsld%26c%3Dtrue%26os%3D141083%26oe%3D141089" xr:uid="{00000000-0004-0000-0000-000049000000}"/>
    <hyperlink ref="F49" r:id="rId75" display="fdsup://factset/Doc Viewer Single?float_window=true&amp;positioning_strategy=center_on_screen&amp;_doc_docfn=U2FsdGVkX18N5OqoheCvAzNwHXvVNtIqHwmGpLoLBZJbAniCD+JAV4AiycdlEHX+VO5B4RN1ZfSzKX9UWz1CzWP4ic+kJuyhTCZTxq3CKas=&amp;_app_id=central_doc_viewer&amp;center_on_screen=true&amp;width=950&amp;height=800&amp;_dd2=%26f%3Dsld%26c%3Dtrue%26os%3D141002%26oe%3D141008" xr:uid="{00000000-0004-0000-0000-00004A000000}"/>
    <hyperlink ref="E49" r:id="rId76" display="fdsup://factset/Doc Viewer Single?float_window=true&amp;positioning_strategy=center_on_screen&amp;_doc_docfn=U2FsdGVkX1+LC78RAmtfP/9f7OQ8FTnfpflP2/4KvbH8GoPg3SnU2+W5M5HAuRZAVe149DBNa3tg47SwpVR99/ykfCteqoYuFIqDHcpj2d4=&amp;_app_id=central_doc_viewer&amp;center_on_screen=true&amp;width=950&amp;height=800&amp;_dd2=%26f%3Dsld%26c%3Dtrue%26os%3D157088%26oe%3D157094" xr:uid="{00000000-0004-0000-0000-00004B000000}"/>
    <hyperlink ref="D49" r:id="rId77" display="fdsup://factset/Doc Viewer Single?float_window=true&amp;positioning_strategy=center_on_screen&amp;_doc_docfn=U2FsdGVkX18OPGPOAg+oWyjFIgZuPQgtVh7CVC/SRCXHyyGdU8B9m/oB7xtuS3pROD/SmqTlhxbrhGWRSdYTUbnm+CF93ZO4cFiGK/xlxgc=&amp;_app_id=central_doc_viewer&amp;center_on_screen=true&amp;width=950&amp;height=800&amp;_dd2=%26f%3Dsld%26c%3Dtrue%26os%3D125725%26oe%3D125731" xr:uid="{00000000-0004-0000-0000-00004C000000}"/>
    <hyperlink ref="C49" r:id="rId78" display="fdsup://factset/Doc Viewer Single?float_window=true&amp;positioning_strategy=center_on_screen&amp;_doc_docfn=U2FsdGVkX1+cBfkrzanTcbgfCwPRPBLS5bpCh0WqR+7GdTaKnm6Qnjg+bUEpJzkkv7d/Y0e+U/JhM4oPhDt69QFIOIlEkf2D67ywJq6Z1W4=&amp;_app_id=central_doc_viewer&amp;center_on_screen=true&amp;width=950&amp;height=800&amp;_dd2=%26f%3Dsld%26c%3Dtrue%26os%3D123072%26oe%3D123078" xr:uid="{00000000-0004-0000-0000-00004D000000}"/>
    <hyperlink ref="B49" r:id="rId79" display="fdsup://factset/Doc Viewer Single?float_window=true&amp;positioning_strategy=center_on_screen&amp;_doc_docfn=U2FsdGVkX19nuNAdRpDDEkZuPQJ4Ak9XiPB2RMTGylw5D8h5jVqeUui9fNCmuzf+2HBNvQk6lAAdLlfKdlff8RhuKPl0efkikZCtF0q0MyI=&amp;_app_id=central_doc_viewer&amp;center_on_screen=true&amp;width=950&amp;height=800&amp;_dd2=%26f%3Dsld%26c%3Dtrue%26os%3D74941%26oe%3D74947" xr:uid="{00000000-0004-0000-0000-00004E000000}"/>
    <hyperlink ref="U52" r:id="rId80" display="fdsup://factset/Doc Viewer Single?float_window=true&amp;positioning_strategy=center_on_screen&amp;_doc_docfn=U2FsdGVkX19aNTYjjA+/0Oac/WAKRgyvTVu4AQZOQ7eWn1fve84119GXEmI/BBW5aW2csxbZaEGO7aE2E/SKX03ihc6L/PK/w/WwdjiQ0xM=&amp;_app_id=central_doc_viewer&amp;center_on_screen=true&amp;width=950&amp;height=800&amp;_dd2=%26f%3Dsld%26c%3Dtrue%26os%3D141395%26oe%3D141401" xr:uid="{00000000-0004-0000-0000-00004F000000}"/>
    <hyperlink ref="P52" r:id="rId81" display="fdsup://factset/Doc Viewer Single?float_window=true&amp;positioning_strategy=center_on_screen&amp;_doc_docfn=U2FsdGVkX19yfyIs8xzu4nu7BZVav5SR/ihAJZ3nCZPCTDmuCOhJm9QogxGUQ6/j+WsDbxfGo6p5EKyYND+n0oNavKbVfe/PbXxpnKCiypw=&amp;_app_id=central_doc_viewer&amp;center_on_screen=true&amp;width=950&amp;height=800&amp;_dd2=%26f%3Dsld%26c%3Dtrue%26os%3D141596%26oe%3D141602" xr:uid="{00000000-0004-0000-0000-000050000000}"/>
    <hyperlink ref="K52" r:id="rId82" display="fdsup://factset/Doc Viewer Single?float_window=true&amp;positioning_strategy=center_on_screen&amp;_doc_docfn=U2FsdGVkX1/ZCQBbo0ux592Et0bMqgY79pSj3BrdWQqGh9xcuz5Qm6BOessUhKVoPZf/91CjnYCsJPsMYSSeIPG/B+RQ0unmYOe1x4+jihs=&amp;_app_id=central_doc_viewer&amp;center_on_screen=true&amp;width=950&amp;height=800&amp;_dd2=%26f%3Dsld%26c%3Dtrue%26os%3D141796%26oe%3D141801" xr:uid="{00000000-0004-0000-0000-000051000000}"/>
    <hyperlink ref="F52" r:id="rId83" display="fdsup://factset/Doc Viewer Single?float_window=true&amp;positioning_strategy=center_on_screen&amp;_doc_docfn=U2FsdGVkX1+E+OlDuuO0sFtYSVlghECHMVi92wzejQwapDfIknC5AAcSZ2OB2M384YUZaOBYX9qAXZ+HCM2WG345EddtgR2eUHgoXVCzHPg=&amp;_app_id=central_doc_viewer&amp;center_on_screen=true&amp;width=950&amp;height=800&amp;_dd2=%26f%3Dsld%26c%3Dtrue%26os%3D141713%26oe%3D141718" xr:uid="{00000000-0004-0000-0000-000052000000}"/>
    <hyperlink ref="E52" r:id="rId84" display="fdsup://factset/Doc Viewer Single?float_window=true&amp;positioning_strategy=center_on_screen&amp;_doc_docfn=U2FsdGVkX1/KpMrOxoI5s8lngMQbfm7zCKx3Lg2J51NmkcoTTIEDi/AG71fjDCmG9kZJG2GgW3jaZEeNGXf/Lgf7hq3xi/hN7fY8LXUCXxs=&amp;_app_id=central_doc_viewer&amp;center_on_screen=true&amp;width=950&amp;height=800&amp;_dd2=%26f%3Dsld%26c%3Dtrue%26os%3D157798%26oe%3D157804" xr:uid="{00000000-0004-0000-0000-000053000000}"/>
    <hyperlink ref="D52" r:id="rId85" display="fdsup://factset/Doc Viewer Single?float_window=true&amp;positioning_strategy=center_on_screen&amp;_doc_docfn=U2FsdGVkX1+lSjQ69oRk1kYjvq2wHzuEibYXSgqbk5RzVDNN2cg6n8mtvHcjdBOCLrcAvqZpqGNUAPTdFuA9TnTOqprqmSUifFfS1AtIUN8=&amp;_app_id=central_doc_viewer&amp;center_on_screen=true&amp;width=950&amp;height=800&amp;_dd2=%26f%3Dsld%26c%3Dtrue%26os%3D126437%26oe%3D126443" xr:uid="{00000000-0004-0000-0000-000054000000}"/>
    <hyperlink ref="C52" r:id="rId86" display="fdsup://factset/Doc Viewer Single?float_window=true&amp;positioning_strategy=center_on_screen&amp;_doc_docfn=U2FsdGVkX19eKYSnkMODhqB1nZ3OLYfE428+fx44vR2Kaf7dbrC1vpYlFBYSuyPIdkZCTuBCdXXnmiyvvXuUc4He5Z1FP5wz3RtVeuKOtEg=&amp;_app_id=central_doc_viewer&amp;center_on_screen=true&amp;width=950&amp;height=800&amp;_dd2=%26f%3Dsld%26c%3Dtrue%26os%3D123595%26oe%3D123601" xr:uid="{00000000-0004-0000-0000-000055000000}"/>
    <hyperlink ref="B52" r:id="rId87" display="fdsup://factset/Doc Viewer Single?float_window=true&amp;positioning_strategy=center_on_screen&amp;_doc_docfn=U2FsdGVkX1+I7zBvrriHrt/wIIq9REzQddozyr6ldTg3iVm3LUdEuLE0H/h05X8PIZNoA7gO52yYtp6rGi4vGrAKwYNWQRdJ7MDg9bJHIUQ=&amp;_app_id=central_doc_viewer&amp;center_on_screen=true&amp;width=950&amp;height=800&amp;_dd2=%26f%3Dsld%26c%3Dtrue%26os%3D75499%26oe%3D75505" xr:uid="{00000000-0004-0000-0000-000056000000}"/>
    <hyperlink ref="U57" r:id="rId88" display="fdsup://factset/Doc Viewer Single?float_window=true&amp;positioning_strategy=center_on_screen&amp;_doc_docfn=U2FsdGVkX1+XRG/izy/F4NibfjwOSK9VVN4rjqrQwCRm2oyKbg8k6c23Z/KljEv75AIo4BIkE4SdNf8/+W8S2rA2mrIqQQ1l3GNqjzt2Bcs=&amp;_app_id=central_doc_viewer&amp;center_on_screen=true&amp;width=950&amp;height=800&amp;_dd2=%26f%3Dsld%26c%3Dtrue%26os%3D142128%26oe%3D142131" xr:uid="{00000000-0004-0000-0000-000057000000}"/>
    <hyperlink ref="P57" r:id="rId89" display="fdsup://factset/Doc Viewer Single?float_window=true&amp;positioning_strategy=center_on_screen&amp;_doc_docfn=U2FsdGVkX1/k4rm1/fKd04SOLzY+QjibY/VgU9iFrsBCctWxNNjEgz3x+Ma3AS8ecqV7De6R5XyeIlVxU3QYoJR4Ss571Y0EAqlHqOLKL0Y=&amp;_app_id=central_doc_viewer&amp;center_on_screen=true&amp;width=950&amp;height=800&amp;_dd2=%26f%3Dsld%26c%3Dtrue%26os%3D142333%26oe%3D142334" xr:uid="{00000000-0004-0000-0000-000058000000}"/>
    <hyperlink ref="K57" r:id="rId90" display="fdsup://factset/Doc Viewer Single?float_window=true&amp;positioning_strategy=center_on_screen&amp;_doc_docfn=U2FsdGVkX19Q0SlTUvJwb+Ld+2t84vCVL6cwiKE7AmKOj4vJTboxF/pbBCdttKZelioOl0NnPyh3wMzmILvAeObunlFQdXskE1EfzxUatG8=&amp;_app_id=central_doc_viewer&amp;center_on_screen=true&amp;width=950&amp;height=800&amp;_dd2=%26f%3Dsld%26c%3Dtrue%26os%3D142540%26oe%3D142544" xr:uid="{00000000-0004-0000-0000-000059000000}"/>
    <hyperlink ref="F57" r:id="rId91" display="fdsup://factset/Doc Viewer Single?float_window=true&amp;positioning_strategy=center_on_screen&amp;_doc_docfn=U2FsdGVkX18NFbEicnMnh38c+hf2+67BYUaT2WM5K0rEGadVYrJFIa2MzYpvretZjXJ1RPsIjWdqQaLwcpqykfbcmOR78wyKKY4FMRuptuQ=&amp;_app_id=central_doc_viewer&amp;center_on_screen=true&amp;width=950&amp;height=800&amp;_dd2=%26f%3Dsld%26c%3Dtrue%26os%3D142470%26oe%3D142472" xr:uid="{00000000-0004-0000-0000-00005A000000}"/>
    <hyperlink ref="E57" r:id="rId92" display="fdsup://factset/Doc Viewer Single?float_window=true&amp;positioning_strategy=center_on_screen&amp;_doc_docfn=U2FsdGVkX18SSdgmqrb1Q5PAJLGwVK8PwOSLk5akYoNJhNTVFIhu9pbx0o0AmTk6BSQRCkzaqzp3eEduu4rHxHt/J5FMlk8u8nLW59HPH9s=&amp;_app_id=central_doc_viewer&amp;center_on_screen=true&amp;width=950&amp;height=800&amp;_dd2=%26f%3Dsld%26c%3Dtrue%26os%3D158562%26oe%3D158565" xr:uid="{00000000-0004-0000-0000-00005B000000}"/>
    <hyperlink ref="D57" r:id="rId93" display="fdsup://factset/Doc Viewer Single?float_window=true&amp;positioning_strategy=center_on_screen&amp;_doc_docfn=U2FsdGVkX19yYJX4EbyPIHD1MoK7DwvdJpCLUzJ/HuTLT631id/mwEgX+GHKvouWnoEVvivVUKJI/xCOeU5O+gtG7TBeNZ2Imlhdn29tPxA=&amp;_app_id=central_doc_viewer&amp;center_on_screen=true&amp;width=950&amp;height=800&amp;_dd2=%26f%3Dsld%26c%3Dtrue%26os%3D127195%26oe%3D127200" xr:uid="{00000000-0004-0000-0000-00005C000000}"/>
    <hyperlink ref="C57" r:id="rId94" display="fdsup://factset/Doc Viewer Single?float_window=true&amp;positioning_strategy=center_on_screen&amp;_doc_docfn=U2FsdGVkX19zjyhd8GsOfpHeB9RjguJ+XJuQESSYdDTCnJidpkpBL43RwJd1HLeOR5oXFCmIc+KuScHFFxM5He8Lr95M9c1465h8Ta2eWHc=&amp;_app_id=central_doc_viewer&amp;center_on_screen=true&amp;width=950&amp;height=800&amp;_dd2=%26f%3Dsld%26c%3Dtrue%26os%3D124148%26oe%3D124153" xr:uid="{00000000-0004-0000-0000-00005D000000}"/>
    <hyperlink ref="B57" r:id="rId95" display="fdsup://factset/Doc Viewer Single?float_window=true&amp;positioning_strategy=center_on_screen&amp;_doc_docfn=U2FsdGVkX1//TnHwORQu1REqNQ9bES1G7GIuzHrdgoGzVj/PpNdVUZxkmtZRS+ybR9VyuO9/6z9SCN/0qhqzcUIR+KdSOHxFj3k8GfaPgm4=&amp;_app_id=central_doc_viewer&amp;center_on_screen=true&amp;width=950&amp;height=800&amp;_dd2=%26f%3Dsld%26c%3Dtrue%26os%3D76091%26oe%3D76092" xr:uid="{00000000-0004-0000-0000-00005E000000}"/>
    <hyperlink ref="U58" r:id="rId96" display="fdsup://factset/Doc Viewer Single?float_window=true&amp;positioning_strategy=center_on_screen&amp;_doc_docfn=U2FsdGVkX1+n0QfAHtWHhIvQb8RK3Ze+iGFlmYRt/B+XEM3uSO1ACo4ttZc35wOp+0mFnhpETCat3EkQm4NQSKywN7oQDpMum9nd2ax+GMo=&amp;_app_id=central_doc_viewer&amp;center_on_screen=true&amp;width=950&amp;height=800&amp;_dd2=%26f%3Dsld%26c%3Dtrue%26os%3D142825%26oe%3D142831" xr:uid="{00000000-0004-0000-0000-00005F000000}"/>
    <hyperlink ref="P58" r:id="rId97" display="fdsup://factset/Doc Viewer Single?float_window=true&amp;positioning_strategy=center_on_screen&amp;_doc_docfn=U2FsdGVkX1+UgXBfP5mbpYiw5glTZaa9h0PMLAfV7lSanEScYp+vZ7n7v5xBHo2MRnks7zUgGgSvZnLez8YpoUpu+j/ATj6vdzEhwkM0if8=&amp;_app_id=central_doc_viewer&amp;center_on_screen=true&amp;width=950&amp;height=800&amp;_dd2=%26f%3Dsld%26c%3Dtrue%26os%3D143016%26oe%3D143022" xr:uid="{00000000-0004-0000-0000-000060000000}"/>
    <hyperlink ref="K58" r:id="rId98" display="fdsup://factset/Doc Viewer Single?float_window=true&amp;positioning_strategy=center_on_screen&amp;_doc_docfn=U2FsdGVkX19K6FigwPIQDSLk5rIkP3glzwT3hrmimRf3k4b0IYOIKfLGrXWZ7J8vCkF2MjeIx/CqTN/HCCnBuY/ZyUeJHfsC/l/ZViaiAN4=&amp;_app_id=central_doc_viewer&amp;center_on_screen=true&amp;width=950&amp;height=800&amp;_dd2=%26f%3Dsld%26c%3Dtrue%26os%3D143207%26oe%3D143213" xr:uid="{00000000-0004-0000-0000-000061000000}"/>
    <hyperlink ref="F58" r:id="rId99" display="fdsup://factset/Doc Viewer Single?float_window=true&amp;positioning_strategy=center_on_screen&amp;_doc_docfn=U2FsdGVkX18x8qZY4k4TFVazEnVLPCipujzdtr2kV4PZWfFnb7Z9s6TVeC0P3h+fB13F85oRfaE20pgYmRV5/YL92hYJv/QjJKHThi51uT0=&amp;_app_id=central_doc_viewer&amp;center_on_screen=true&amp;width=950&amp;height=800&amp;_dd2=%26f%3Dsld%26c%3Dtrue%26os%3D143135%26oe%3D143141" xr:uid="{00000000-0004-0000-0000-000062000000}"/>
    <hyperlink ref="E58" r:id="rId100" display="fdsup://factset/Doc Viewer Single?float_window=true&amp;positioning_strategy=center_on_screen&amp;_doc_docfn=U2FsdGVkX1+kgQ4QdcPMbCCpTMKii69K9pF4ds+x7Tix5uxp6KGduyBiLP5itORvJfYvNTzPVijVpTj25evbJSUhSCvQsI4tT0ihZKD02RU=&amp;_app_id=central_doc_viewer&amp;center_on_screen=true&amp;width=950&amp;height=800&amp;_dd2=%26f%3Dsld%26c%3Dtrue%26os%3D159228%26oe%3D159234" xr:uid="{00000000-0004-0000-0000-000063000000}"/>
    <hyperlink ref="D58" r:id="rId101" display="fdsup://factset/Doc Viewer Single?float_window=true&amp;positioning_strategy=center_on_screen&amp;_doc_docfn=U2FsdGVkX19oIYLT4VRPjEShyi301OoijQ+pDYdt5fGyhLYqGHdjuP86u9FsHa8dSIQI70NStqaB1P7JJ8UbyEzTTfsDCVLQt8QVOoKrKE8=&amp;_app_id=central_doc_viewer&amp;center_on_screen=true&amp;width=950&amp;height=800&amp;_dd2=%26f%3Dsld%26c%3Dtrue%26os%3D127863%26oe%3D127869" xr:uid="{00000000-0004-0000-0000-000064000000}"/>
    <hyperlink ref="C58" r:id="rId102" display="fdsup://factset/Doc Viewer Single?float_window=true&amp;positioning_strategy=center_on_screen&amp;_doc_docfn=U2FsdGVkX1/XfU9XRtF8pNBwaV63b2BMuuG2sfIWu7s8me1zbu7yze4SGm/2d5283ruqd36QsfUQ6a6esFSe7da79FHFoy8JoMq1o+iCytY=&amp;_app_id=central_doc_viewer&amp;center_on_screen=true&amp;width=950&amp;height=800&amp;_dd2=%26f%3Dsld%26c%3Dtrue%26os%3D124629%26oe%3D124635" xr:uid="{00000000-0004-0000-0000-000065000000}"/>
    <hyperlink ref="B58" r:id="rId103" display="fdsup://factset/Doc Viewer Single?float_window=true&amp;positioning_strategy=center_on_screen&amp;_doc_docfn=U2FsdGVkX1+iPZ4KoG9eB+5U00SrpnDIE2+U2M0wRTiYtFhN6GAj6XqftzRVibSzV1qN6qFFsVBUD01Q91M3HFl33SV5jO0f4kGDPOrVXjs=&amp;_app_id=central_doc_viewer&amp;center_on_screen=true&amp;width=950&amp;height=800&amp;_dd2=%26f%3Dsld%26c%3Dtrue%26os%3D76613%26oe%3D76619" xr:uid="{00000000-0004-0000-0000-000066000000}"/>
    <hyperlink ref="U62" r:id="rId104" display="fdsup://factset/Doc Viewer Single?float_window=true&amp;positioning_strategy=center_on_screen&amp;_doc_docfn=U2FsdGVkX181A3x9uQah2hCUhowm1MwpszH1kvwxtxZ+aEH2kMZGaGQ6NVTxE2eIvXWqNxjL77Y6HCPqj66ah4sdna8FajZ3ZUF4OI1vmz4=&amp;_app_id=central_doc_viewer&amp;center_on_screen=true&amp;width=950&amp;height=800&amp;_dd2=%26f%3Dsld%26c%3Dtrue%26os%3D148315%26oe%3D148321" xr:uid="{00000000-0004-0000-0000-00006F000000}"/>
    <hyperlink ref="P62" r:id="rId105" display="fdsup://factset/Doc Viewer Single?float_window=true&amp;positioning_strategy=center_on_screen&amp;_doc_docfn=U2FsdGVkX19H8gwOvmrZ/2NTb4nyYtZ3ETSu/Uwu+Sd9wgFHkPohRx2/gAHPqSDnW8rgn7I9tqFLsl/JTWtNdv5xseZrV8T7A3QOE1pJj4A=&amp;_app_id=central_doc_viewer&amp;center_on_screen=true&amp;width=950&amp;height=800&amp;_dd2=%26f%3Dsld%26c%3Dtrue%26os%3D148520%26oe%3D148526" xr:uid="{00000000-0004-0000-0000-000070000000}"/>
    <hyperlink ref="K62" r:id="rId106" display="fdsup://factset/Doc Viewer Single?float_window=true&amp;positioning_strategy=center_on_screen&amp;_doc_docfn=U2FsdGVkX1/oQhTZEHHnUCQ+gIWDNsRtnXpok5TIaFqfBuHQEvDKILAm3I0rYiBcElW4d93ZaC3ovml5nBwql9oZI5Glg1Rs3UhOE8jI/Ck=&amp;_app_id=central_doc_viewer&amp;center_on_screen=true&amp;width=950&amp;height=800&amp;_dd2=%26f%3Dsld%26c%3Dtrue%26os%3D148725%26oe%3D148731" xr:uid="{00000000-0004-0000-0000-000071000000}"/>
    <hyperlink ref="F62" r:id="rId107" display="fdsup://factset/Doc Viewer Single?float_window=true&amp;positioning_strategy=center_on_screen&amp;_doc_docfn=U2FsdGVkX19p5pO+ltG9JNYQcGUbizHX4L5BrlfUbf5aAWNVP5KMiV1qCOdA2oLTkJW1V3/CruHMMKWp/FR0pZYeng1tMleokiPNz5sIy5M=&amp;_app_id=central_doc_viewer&amp;center_on_screen=true&amp;width=950&amp;height=800&amp;_dd2=%26f%3Dsld%26c%3Dtrue%26os%3D148627%26oe%3D148633" xr:uid="{00000000-0004-0000-0000-000072000000}"/>
    <hyperlink ref="E62" r:id="rId108" display="fdsup://factset/Doc Viewer Single?float_window=true&amp;positioning_strategy=center_on_screen&amp;_doc_docfn=U2FsdGVkX19RxVsPQDk7SPW9X2vPHEqeutWvr+Mc/eVZ6MHqfKnwFfupzi26N9lpqymP7VskJmFqZf57D0uCGMl50umUE4wXo+XR1jEG4hY=&amp;_app_id=central_doc_viewer&amp;center_on_screen=true&amp;width=950&amp;height=800&amp;_dd2=%26f%3Dsld%26c%3Dtrue%26os%3D164686%26oe%3D164692" xr:uid="{00000000-0004-0000-0000-000073000000}"/>
    <hyperlink ref="D62" r:id="rId109" display="fdsup://factset/Doc Viewer Single?float_window=true&amp;positioning_strategy=center_on_screen&amp;_doc_docfn=U2FsdGVkX18EnXyQRj5Nh5Ntcj9Oihc9dRHkAiLLlaJsn/joUzyGLwE9xsIfBT9zoKua2Jw4bfKK2jGqDe8HLSDJP9k4hNehD1tJ6+yOEaM=&amp;_app_id=central_doc_viewer&amp;center_on_screen=true&amp;width=950&amp;height=800&amp;_dd2=%26f%3Dsld%26c%3Dtrue%26os%3D132341%26oe%3D132347" xr:uid="{00000000-0004-0000-0000-000074000000}"/>
    <hyperlink ref="C62" r:id="rId110" display="fdsup://factset/Doc Viewer Single?float_window=true&amp;positioning_strategy=center_on_screen&amp;_doc_docfn=U2FsdGVkX19xWpE/bVkfBfcJ2uAaKt1nWLHAenNNcil1MD/FxChfHxixytCTelgfH45iLIAbPfyWoIk2R0dD35jGH3Bf+dSvrJF+IMlnPE4=&amp;_app_id=central_doc_viewer&amp;center_on_screen=true&amp;width=950&amp;height=800&amp;_dd2=%26f%3Dsld%26c%3Dtrue%26os%3D125968%26oe%3D125972" xr:uid="{00000000-0004-0000-0000-000075000000}"/>
    <hyperlink ref="B62" r:id="rId111" display="fdsup://factset/Doc Viewer Single?float_window=true&amp;positioning_strategy=center_on_screen&amp;_doc_docfn=U2FsdGVkX19Vtmxm5ZQ1CMDb09FFAUwQKzvCP/pOo5Qx7Tbt2CoRH6Yj8Qo43P8ca3ocoCPBoIG3lb+sZJZS8Ih5gL5GTFo6V6M+5P20O3k=&amp;_app_id=central_doc_viewer&amp;center_on_screen=true&amp;width=950&amp;height=800&amp;_dd2=%26f%3Dsld%26c%3Dtrue%26os%3D78085%26oe%3D78089" xr:uid="{00000000-0004-0000-0000-000076000000}"/>
    <hyperlink ref="U66" r:id="rId112" display="fdsup://factset/Doc Viewer Single?float_window=true&amp;positioning_strategy=center_on_screen&amp;_doc_docfn=U2FsdGVkX1/nxL8+TEnpR3Urtt5/yRpBYqzOcnRkA/oRGPsL3difs+EHIDreERhFfq+FdMXBzFaThfRPioKABtvxcEwyNdhcEMld/NSnQas=&amp;_app_id=central_doc_viewer&amp;center_on_screen=true&amp;width=950&amp;height=800&amp;_dd2=%26f%3Dsld%26c%3Dtrue%26os%3D150203%26oe%3D150213" xr:uid="{00000000-0004-0000-0000-00007F000000}"/>
    <hyperlink ref="P66" r:id="rId113" display="fdsup://factset/Doc Viewer Single?float_window=true&amp;positioning_strategy=center_on_screen&amp;_doc_docfn=U2FsdGVkX1/zS5VeIP264lCiF5ZnAouVR7E/ZWOyuJ3nT+bxdy/TBBAolujU2lJXjQ5UWSYKaNM1IHVfpb4R/E5pcReHd3RAHw83QxyidtE=&amp;_app_id=central_doc_viewer&amp;center_on_screen=true&amp;width=950&amp;height=800&amp;_dd2=%26f%3Dsld%26c%3Dtrue%26os%3D150435%26oe%3D150445" xr:uid="{00000000-0004-0000-0000-000080000000}"/>
    <hyperlink ref="K66" r:id="rId114" display="fdsup://factset/Doc Viewer Single?float_window=true&amp;positioning_strategy=center_on_screen&amp;_doc_docfn=U2FsdGVkX1/LYYr43iM8ZGUm16UZ//Iut0x9/Vvbg78YZMaJlrUYNZDWq7gEorZjERfcU/0T2EjPONw9fvVekIn6ysrGjL66VFUBmLRj6LA=&amp;_app_id=central_doc_viewer&amp;center_on_screen=true&amp;width=950&amp;height=800&amp;_dd2=%26f%3Dsld%26c%3Dtrue%26os%3D150667%26oe%3D150677" xr:uid="{00000000-0004-0000-0000-000081000000}"/>
    <hyperlink ref="F66" r:id="rId115" display="fdsup://factset/Doc Viewer Single?float_window=true&amp;positioning_strategy=center_on_screen&amp;_doc_docfn=U2FsdGVkX18A5oytFR5iFmq212Maocg8Bpv4lZc7tOpHj3keG8Ez30VgiyzpBRzAO8jNJwitMLkv5pGDeXMf3n3773IhP5M6F/DxpyxwbMU=&amp;_app_id=central_doc_viewer&amp;center_on_screen=true&amp;width=950&amp;height=800&amp;_dd2=%26f%3Dsld%26c%3Dtrue%26os%3D150569%26oe%3D150579" xr:uid="{00000000-0004-0000-0000-000082000000}"/>
    <hyperlink ref="E66" r:id="rId116" display="fdsup://factset/Doc Viewer Single?float_window=true&amp;positioning_strategy=center_on_screen&amp;_doc_docfn=U2FsdGVkX18tQ1J+4MD08Dr7E32bRpRGr6GVTN0muCcD7TKyzPIMld4U7U2sbNGphvyCTPGa80aEQbOHw4mPf+A2uegYvb5CuP6gEpZ2Iho=&amp;_app_id=central_doc_viewer&amp;center_on_screen=true&amp;width=950&amp;height=800&amp;_dd2=%26f%3Dsld%26c%3Dtrue%26os%3D166628%26oe%3D166638" xr:uid="{00000000-0004-0000-0000-000083000000}"/>
    <hyperlink ref="D66" r:id="rId117" display="fdsup://factset/Doc Viewer Single?float_window=true&amp;positioning_strategy=center_on_screen&amp;_doc_docfn=U2FsdGVkX1/EYPY9RTeF2XuHI4JmChZp338KzBgI5V7cX3Q+TinSBV6vKRHq7Z83gyo9+UdKJvJ9EDvCWClp+ySgzgGV7OpL1znVD8W+AFg=&amp;_app_id=central_doc_viewer&amp;center_on_screen=true&amp;width=950&amp;height=800&amp;_dd2=%26f%3Dsld%26c%3Dtrue%26os%3D134283%26oe%3D134293" xr:uid="{00000000-0004-0000-0000-000084000000}"/>
    <hyperlink ref="C66" r:id="rId118" display="fdsup://factset/Doc Viewer Single?float_window=true&amp;positioning_strategy=center_on_screen&amp;_doc_docfn=U2FsdGVkX1//Tb/14eakhmvCNx9HPucN7mbxD0uGFttytlprSPSjHu51fUM3lX/OOy2kYEmelfOrJsTdLC6Rnp6dFejR0wMVg5CNzMTyzrg=&amp;_app_id=central_doc_viewer&amp;center_on_screen=true&amp;width=950&amp;height=800&amp;_dd2=%26f%3Dsld%26c%3Dtrue%26os%3D127381%26oe%3D127391" xr:uid="{00000000-0004-0000-0000-000085000000}"/>
    <hyperlink ref="B66" r:id="rId119" display="fdsup://factset/Doc Viewer Single?float_window=true&amp;positioning_strategy=center_on_screen&amp;_doc_docfn=U2FsdGVkX1854bIOGobzXOwJR+QVv9X5ooCZ+j9rx7CY79LfRGuriGLsdjFI2rn2DPV/B1VvRl4g2dzNHXF8caXCbxPcC2zabNAfW97g7AI=&amp;_app_id=central_doc_viewer&amp;center_on_screen=true&amp;width=950&amp;height=800&amp;_dd2=%26f%3Dsld%26c%3Dtrue%26os%3D79623%26oe%3D79633" xr:uid="{00000000-0004-0000-0000-000086000000}"/>
    <hyperlink ref="F70" r:id="rId120" display="fdsup://factset/Doc Viewer Single?float_window=true&amp;positioning_strategy=center_on_screen&amp;_doc_docfn=U2FsdGVkX1+gWIkXiaUjJbL/vK6wNzn51fBgjGffn3yGbR35i/QuvFgWduzsM40st32QKZzAIELTN2RUPwKJM7iT+ROJLewsqAzGA2zo51c=&amp;_app_id=central_doc_viewer&amp;center_on_screen=true&amp;width=950&amp;height=800&amp;_dd2=%26f%3Dsld%26c%3Dtrue%26os%3D64494%26oe%3D64505" xr:uid="{499E756A-A372-459B-8C7E-DF7946622CDD}"/>
    <hyperlink ref="E70" r:id="rId121" display="fdsup://factset/Doc Viewer Single?float_window=true&amp;positioning_strategy=center_on_screen&amp;_doc_docfn=U2FsdGVkX19xon+MxU0YQeJF+/Axs4GOH1HPIBsa36Bm+x6dFoehl6JHQBdXgaMDG1gEq1CPDn9+9pS0Z3r4ViqFJOrJC1KjZaD2VZkJq/w=&amp;_app_id=central_doc_viewer&amp;center_on_screen=true&amp;width=950&amp;height=800&amp;_dd2=%26f%3Dsld%26c%3Dtrue%26os%3D59582%26oe%3D59589" xr:uid="{E57393B3-EA9D-49BC-8D63-84F9C48D99F5}"/>
    <hyperlink ref="D70" r:id="rId122" display="fdsup://factset/Doc Viewer Single?float_window=true&amp;positioning_strategy=center_on_screen&amp;_doc_docfn=U2FsdGVkX199x3lDkpfs3y1HFJG4/KCICWYMC+lWJQR+ax3tmgSvnnUhIBT+9FvNQlUvA6eLdvlQ0pC3m2jCgAb2+F3nM5KlawS/yTdG2eA=&amp;_app_id=central_doc_viewer&amp;center_on_screen=true&amp;width=950&amp;height=800&amp;_dd2=%26f%3Dsld%26c%3Dtrue%26os%3D70278%26oe%3D70285" xr:uid="{AAEBA1B0-70F6-461B-ACFC-68D4CCEE80C2}"/>
    <hyperlink ref="C70" r:id="rId123" display="fdsup://factset/Doc Viewer Single?float_window=true&amp;positioning_strategy=center_on_screen&amp;_doc_docfn=U2FsdGVkX1/LiOUiXcFj0q8so3k75wkfIdESMfgh5caWXjGgOGJgloKr0ch2N48GIX6qD5vnUUFtfjsWQT3CZi+MS4lmOx7vzN4dOqpkzAI=&amp;_app_id=central_doc_viewer&amp;center_on_screen=true&amp;width=950&amp;height=800&amp;_dd2=%26f%3Dsld%26c%3Dtrue%26os%3D59086%26oe%3D59093" xr:uid="{E86F45B7-E8E2-48EB-BEFE-D47C3AAF9D27}"/>
    <hyperlink ref="B70" r:id="rId124" display="fdsup://factset/Doc Viewer Single?float_window=true&amp;positioning_strategy=center_on_screen&amp;_doc_docfn=U2FsdGVkX1+S4Pk2yUfFeTGIfFwCBg0pxHUtoss7jstE/AXG9Zu5kJdrNC87FJkOBcu3UnT26dccXXP/oRIqbT6VlBkuDXNDr+ath8R2D1w=&amp;_app_id=central_doc_viewer&amp;center_on_screen=true&amp;width=950&amp;height=800&amp;_dd2=%26f%3Dsld%26c%3Dtrue%26os%3D34937%26oe%3D34944" xr:uid="{00D33DE4-B558-43D5-961D-C6E5C2443F40}"/>
    <hyperlink ref="F71" r:id="rId125" display="fdsup://factset/Doc Viewer Single?float_window=true&amp;positioning_strategy=center_on_screen&amp;_doc_docfn=U2FsdGVkX1+PPp9ORz/+l0TEMqmztcZg9QxXDMWsuAOCiBLvPJ9m8UhpOycQTeLEhnTW3a6AbbjGcPibERcKauDfi0B5S4tHk+i1P0A9y4A=&amp;_app_id=central_doc_viewer&amp;center_on_screen=true&amp;width=950&amp;height=800&amp;_dd2=%26f%3Dsld%26c%3Dtrue%26os%3D60628%26oe%3D60639" xr:uid="{DBC3019F-2E9D-41E2-BE9B-6F5AF221F8EB}"/>
    <hyperlink ref="E71" r:id="rId126" display="fdsup://factset/Doc Viewer Single?float_window=true&amp;positioning_strategy=center_on_screen&amp;_doc_docfn=U2FsdGVkX1/Ycilh/KabTcS3+BxZHQRf5ZqyLtKyPbHXUFtgZrY01fqdmnHgZizu8p8PduYqqeWnM+CaN+bcrp3JmHkOjbAgPmJOzihLPpM=&amp;_app_id=central_doc_viewer&amp;center_on_screen=true&amp;width=950&amp;height=800&amp;_dd2=%26f%3Dsld%26c%3Dtrue%26os%3D55794%26oe%3D55801" xr:uid="{8DDA6706-15AE-4BA2-A48E-0CF2EC8D78E6}"/>
    <hyperlink ref="D71" r:id="rId127" display="fdsup://factset/Doc Viewer Single?float_window=true&amp;positioning_strategy=center_on_screen&amp;_doc_docfn=U2FsdGVkX18ksL8zJ3ygtqmQtxBE42Hu9ohar68XuhvRaTR0qBNdPCDN3Rxd3zKOxaIjxXTpd5WZMGufzjjHg8ed1+o1KHOhCn3GiPtE2MY=&amp;_app_id=central_doc_viewer&amp;center_on_screen=true&amp;width=950&amp;height=800&amp;_dd2=%26f%3Dsld%26c%3Dtrue%26os%3D66490%26oe%3D66497" xr:uid="{982FDCD0-5421-4C87-9801-13B819D5B296}"/>
    <hyperlink ref="C71" r:id="rId128" display="fdsup://factset/Doc Viewer Single?float_window=true&amp;positioning_strategy=center_on_screen&amp;_doc_docfn=U2FsdGVkX1/7T4+XYrNexBmws/P4EOGVzvvEl/YtpJq3DOWQpfMTWSaQqngySKwxOAQP3P3Hf56iaLqG0Y8jURQgfn19sncZbjDQnTev4HQ=&amp;_app_id=central_doc_viewer&amp;center_on_screen=true&amp;width=950&amp;height=800&amp;_dd2=%26f%3Dsld%26c%3Dtrue%26os%3D55780%26oe%3D55787" xr:uid="{BEDBE1E6-E425-4C66-9A99-73F2F3CF3D1E}"/>
    <hyperlink ref="B71" r:id="rId129" display="fdsup://factset/Doc Viewer Single?float_window=true&amp;positioning_strategy=center_on_screen&amp;_doc_docfn=U2FsdGVkX199dvF5pdxWiy7e96b1kcYm3WGvGnBG8tBZNUOhLy7YZ5SniOImiwamBAS1w4NOxTR7l06u/S+YzHhNYCODvCxHV607WAQmpTY=&amp;_app_id=central_doc_viewer&amp;center_on_screen=true&amp;width=950&amp;height=800&amp;_dd2=%26f%3Dsld%26c%3Dtrue%26os%3D31561%26oe%3D31568" xr:uid="{D53810E1-3CCE-4F41-B654-07448144B003}"/>
    <hyperlink ref="F72" r:id="rId130" display="fdsup://factset/Doc Viewer Single?float_window=true&amp;positioning_strategy=center_on_screen&amp;_doc_docfn=U2FsdGVkX18ZIfJfSHg9ge3DhiCMyUi/YTOBzbbpAs1QPGWXHWlNgizgn5err/7emmgfafPWVQh+yYMoxzCWYxszOWB5eOO9C/5ysACPnMo=&amp;_app_id=central_doc_viewer&amp;center_on_screen=true&amp;width=950&amp;height=800&amp;_dd2=%26f%3Dsld%26c%3Dtrue%26os%3D57616%26oe%3D57626" xr:uid="{25CF4B20-A772-4EDF-9152-F301F0B03B95}"/>
    <hyperlink ref="E72" r:id="rId131" display="fdsup://factset/Doc Viewer Single?float_window=true&amp;positioning_strategy=center_on_screen&amp;_doc_docfn=U2FsdGVkX182rh1QIQrBRo70QtdDGhaqMlBGfUwBKjHds5CwuvlDm2xqBYjplbE8+EhPdXSuXxcF+/eRNRl4Bq06wSknJSdG3594rYvG5s8=&amp;_app_id=central_doc_viewer&amp;center_on_screen=true&amp;width=950&amp;height=800&amp;_dd2=%26f%3Dsld%26c%3Dtrue%26os%3D53278%26oe%3D53285" xr:uid="{2CE9B613-619A-4557-BD03-474D885AC2C7}"/>
    <hyperlink ref="D72" r:id="rId132" display="fdsup://factset/Doc Viewer Single?float_window=true&amp;positioning_strategy=center_on_screen&amp;_doc_docfn=U2FsdGVkX1/YClrmplNglaZMkUjiD/1cGqfJVtDIiqqoX/RJb5S1rNyFlCvk5NDzPOjzZ7CW6WLX2So355oEnpIDGTd+FX2k3AVY2WIkQlI=&amp;_app_id=central_doc_viewer&amp;center_on_screen=true&amp;width=950&amp;height=800&amp;_dd2=%26f%3Dsld%26c%3Dtrue%26os%3D63973%26oe%3D63979" xr:uid="{B5303706-41FA-4229-95A2-33993A215291}"/>
    <hyperlink ref="C72" r:id="rId133" display="fdsup://factset/Doc Viewer Single?float_window=true&amp;positioning_strategy=center_on_screen&amp;_doc_docfn=U2FsdGVkX1/VZ4cQxFeP/6W1rMDituwX0lcME26czCY9Wpwz7jZbjzg2gNvXte2EH9TczxCNEUNFbF+Mh3PGgTabg0k/T6H3rJAUl865zPA=&amp;_app_id=central_doc_viewer&amp;center_on_screen=true&amp;width=950&amp;height=800&amp;_dd2=%26f%3Dsld%26c%3Dtrue%26os%3D53261%26oe%3D53267" xr:uid="{BE9AE1B2-FED8-4CC5-AF60-5C79C6FC5C81}"/>
    <hyperlink ref="B72" r:id="rId134" display="fdsup://factset/Doc Viewer Single?float_window=true&amp;positioning_strategy=center_on_screen&amp;_doc_docfn=U2FsdGVkX1/efCHp0Rf9QxsTcBAMnaHOehsXvEzC/5hqtq/ORNSW7sXGh24GblYpXz/Awt6xSjUIdgg0OH4rJuY+S7F4nNDmPcdBplRVIqw=&amp;_app_id=central_doc_viewer&amp;center_on_screen=true&amp;width=950&amp;height=800&amp;_dd2=%26f%3Dsld%26c%3Dtrue%26os%3D28883%26oe%3D28889" xr:uid="{2547112A-E909-415D-A9EC-CBFF507564BB}"/>
    <hyperlink ref="F73" r:id="rId135" display="fdsup://factset/Doc Viewer Single?float_window=true&amp;positioning_strategy=center_on_screen&amp;_doc_docfn=U2FsdGVkX18Z1wOBHauGPIycGJubV9GD+A0cq31lLhBK59wLY7NAMRsm7v1x+VCZ5jgEUjJCWLF8aEBLBW/GtXK16RyaLRTmSVQ6aN/XDjk=&amp;_app_id=central_doc_viewer&amp;center_on_screen=true&amp;width=950&amp;height=800&amp;_dd2=%26f%3Dsld%26c%3Dtrue%26os%3D58078%26oe%3D58079" xr:uid="{78D2E2E5-63E2-4BB0-A96B-B6637572F150}"/>
    <hyperlink ref="F74" r:id="rId136" display="fdsup://factset/Doc Viewer Single?float_window=true&amp;positioning_strategy=center_on_screen&amp;_doc_docfn=U2FsdGVkX19Cb0wC/eLW+dyZnATrSF5vW9bkNg2TQWmc7reZFJ9BQFURE2O+ZEp7Yy/5AQgkfhsfs44qV8VhMR0L+fCK8Y8aEaEZEzNq060=&amp;_app_id=central_doc_viewer&amp;center_on_screen=true&amp;width=950&amp;height=800&amp;_dd2=%26f%3Dsld%26c%3Dtrue%26os%3D58612%26oe%3D58623" xr:uid="{B4FE482F-F56E-4E5A-9506-532B82D86606}"/>
    <hyperlink ref="E74" r:id="rId137" display="fdsup://factset/Doc Viewer Single?float_window=true&amp;positioning_strategy=center_on_screen&amp;_doc_docfn=U2FsdGVkX1/qb2HLCvSDK06hxnAvwdv0XlSJofrZanMUWJC0nan9WnGig2+6vsS4C9flspfEOcEfq+kh7ll8nv7ybRQSflYshEodHePKUA8=&amp;_app_id=central_doc_viewer&amp;center_on_screen=true&amp;width=950&amp;height=800&amp;_dd2=%26f%3Dsld%26c%3Dtrue%26os%3D53814%26oe%3D53821" xr:uid="{EB3F8918-90D8-4BE9-8CE5-988702F44DC3}"/>
    <hyperlink ref="D74" r:id="rId138" display="fdsup://factset/Doc Viewer Single?float_window=true&amp;positioning_strategy=center_on_screen&amp;_doc_docfn=U2FsdGVkX19rfjfWWjuHAEYlNxtPoD77rYcD6DOrFMBdks9Ju7/wdsbq2XN3koUX+4ZueyTdNgxOfnh9au4yAGYYOHx+FP4U+kugHJQPfvc=&amp;_app_id=central_doc_viewer&amp;center_on_screen=true&amp;width=950&amp;height=800&amp;_dd2=%26f%3Dsld%26c%3Dtrue%26os%3D64508%26oe%3D64515" xr:uid="{2749CC01-FCDA-4DDF-8332-5CD0C65D5702}"/>
    <hyperlink ref="C74" r:id="rId139" display="fdsup://factset/Doc Viewer Single?float_window=true&amp;positioning_strategy=center_on_screen&amp;_doc_docfn=U2FsdGVkX18YKtl4okVJDN0Xdn+6Cxn0bDprHphmnbxuE1IqgXlNsLYr84PAkWPAT1hYjG0Wf8sfzKGHfkpgZe96zI6y7tZlfF2OM0uaVtI=&amp;_app_id=central_doc_viewer&amp;center_on_screen=true&amp;width=950&amp;height=800&amp;_dd2=%26f%3Dsld%26c%3Dtrue%26os%3D53796%26oe%3D53803" xr:uid="{389E42E7-4F94-4873-A628-38B134055109}"/>
    <hyperlink ref="B74" r:id="rId140" display="fdsup://factset/Doc Viewer Single?float_window=true&amp;positioning_strategy=center_on_screen&amp;_doc_docfn=U2FsdGVkX19DP0yhxV6KaGhwfJ9rJMlw0z4NrmyeBGZQIcV5wPUtznQLZ+g8SRWNG3fKbd3troOMMcFFFxO5SINg1qwU8vmNbB639ddCwJE=&amp;_app_id=central_doc_viewer&amp;center_on_screen=true&amp;width=950&amp;height=800&amp;_dd2=%26f%3Dsld%26c%3Dtrue%26os%3D29429%26oe%3D29436" xr:uid="{904B35BD-246F-4C7A-A98B-DA393D4A75FA}"/>
    <hyperlink ref="F75" r:id="rId141" display="fdsup://factset/Doc Viewer Single?float_window=true&amp;positioning_strategy=center_on_screen&amp;_doc_docfn=U2FsdGVkX18RsMzTAPpu3X+xmcJpRHf+NiY75qZ6FU4lRVtV8FkWyRWbi00TA9hrM5PRhGv/qKXlKjPmeNDai36ZFaJTfqzs4dgoJ4Xn/eY=&amp;_app_id=central_doc_viewer&amp;center_on_screen=true&amp;width=950&amp;height=800&amp;_dd2=%26f%3Dsld%26c%3Dtrue%26os%3D59177%26oe%3D59187" xr:uid="{8F596739-03BF-4CCF-A0BC-6D92EABA1BD2}"/>
    <hyperlink ref="E75" r:id="rId142" display="fdsup://factset/Doc Viewer Single?float_window=true&amp;positioning_strategy=center_on_screen&amp;_doc_docfn=U2FsdGVkX18ezlMfX2Y+XeUcNZTcoFOOUwSh5MTaZeK5t+DTzYGaMf1+avW9uzOGNvnBixJ7Gp46WAUHUMaiWyQgEp7o6VmOaH2Cjou0k1A=&amp;_app_id=central_doc_viewer&amp;center_on_screen=true&amp;width=950&amp;height=800&amp;_dd2=%26f%3Dsld%26c%3Dtrue%26os%3D54370%26oe%3D54375" xr:uid="{55C20C20-3256-4888-9740-A2C325CE4AFC}"/>
    <hyperlink ref="D75" r:id="rId143" display="fdsup://factset/Doc Viewer Single?float_window=true&amp;positioning_strategy=center_on_screen&amp;_doc_docfn=U2FsdGVkX19AiYDqG+vjJZn1cEyGfSNCtSjRqT9Sxz9w3T7JPe9G7+EdU32/h6lkaBgH2lowywVp//NDtpO0zd2pBk4bxie6BpmrWOgLbok=&amp;_app_id=central_doc_viewer&amp;center_on_screen=true&amp;width=950&amp;height=800&amp;_dd2=%26f%3Dsld%26c%3Dtrue%26os%3D65063%26oe%3D65069" xr:uid="{91580E3F-D789-47E8-8674-BE2ECA3EA74E}"/>
    <hyperlink ref="C75" r:id="rId144" display="fdsup://factset/Doc Viewer Single?float_window=true&amp;positioning_strategy=center_on_screen&amp;_doc_docfn=U2FsdGVkX1+mZWuVHd63OcI3QMSVVeaz0FLsrCZ1WZy9JZWll6qpZoetBn2iTssrnWkBNQG1PefFU3JrveoFCEVjmCSjakFynlCKynzl9F0=&amp;_app_id=central_doc_viewer&amp;center_on_screen=true&amp;width=950&amp;height=800&amp;_dd2=%26f%3Dsld%26c%3Dtrue%26os%3D54352%26oe%3D54357" xr:uid="{B7B721BB-8CDC-42F2-B345-796845918A21}"/>
    <hyperlink ref="B75" r:id="rId145" display="fdsup://factset/Doc Viewer Single?float_window=true&amp;positioning_strategy=center_on_screen&amp;_doc_docfn=U2FsdGVkX1+3j23T69lZZttVLjtk2u1dWk5lp5SYS0ZlhDkC/5PovzLehnEdixmVVUgAsr/rNQthmvBdSslTlrevRCEsRucbcqWcSpB+2p8=&amp;_app_id=central_doc_viewer&amp;center_on_screen=true&amp;width=950&amp;height=800&amp;_dd2=%26f%3Dsld%26c%3Dtrue%26os%3D30102%26oe%3D30107" xr:uid="{F098DD1B-D9B8-4ED4-98A1-DDA1ADAA60B3}"/>
    <hyperlink ref="F76" r:id="rId146" display="fdsup://factset/Doc Viewer Single?float_window=true&amp;positioning_strategy=center_on_screen&amp;_doc_docfn=U2FsdGVkX1/CSHXMknfsGklBbZ6Pdv/RqD0ZuF6hEjClHA8cMxLWha+7ry9W8uzbPMTwDL3tGGEyA3sfxhbfPkF6vCCdn5O5k3ONOg3PAOs=&amp;_app_id=central_doc_viewer&amp;center_on_screen=true&amp;width=950&amp;height=800&amp;_dd2=%26f%3Dsld%26c%3Dtrue%26os%3D59631%26oe%3D59641" xr:uid="{3C17C81F-AC6C-456F-9DF8-F85832876493}"/>
    <hyperlink ref="E76" r:id="rId147" display="fdsup://factset/Doc Viewer Single?float_window=true&amp;positioning_strategy=center_on_screen&amp;_doc_docfn=U2FsdGVkX1/Dv/ADuFKr5T2b11go+7UtGHI4nR6IxMrZD3MIVarOvdc1nXEG3yO1Ptn83HHKkp/JqHtpg9oQrZzhpaIIkygdOtStuUqjB4Y=&amp;_app_id=central_doc_viewer&amp;center_on_screen=true&amp;width=950&amp;height=800&amp;_dd2=%26f%3Dsld%26c%3Dtrue%26os%3D54815%26oe%3D54821" xr:uid="{E54DF8D2-F47E-425C-B7A7-7CBEB81B0567}"/>
    <hyperlink ref="D76" r:id="rId148" display="fdsup://factset/Doc Viewer Single?float_window=true&amp;positioning_strategy=center_on_screen&amp;_doc_docfn=U2FsdGVkX1+AHvKWSjRflsOUCL9P2s+kqPjNNbbFvxeo9KIDJxbXR/U+v8IX+woeRT/hWv45wJ1iNrXE51JxFpRtNy67EwV5j4nxSEOd9iQ=&amp;_app_id=central_doc_viewer&amp;center_on_screen=true&amp;width=950&amp;height=800&amp;_dd2=%26f%3Dsld%26c%3Dtrue%26os%3D65509%26oe%3D65515" xr:uid="{57E7FA3C-C8D2-4641-A165-D57BCA6AAD01}"/>
    <hyperlink ref="C76" r:id="rId149" display="fdsup://factset/Doc Viewer Single?float_window=true&amp;positioning_strategy=center_on_screen&amp;_doc_docfn=U2FsdGVkX1+mI3m0P4kmJIdCWEOHixeJtYec31KvUuZWt1xjgDMJrzlw+qV+3mczxgN9KhPSCtva836EICniq/Mvgqhxo0IL9CfzWsRywKg=&amp;_app_id=central_doc_viewer&amp;center_on_screen=true&amp;width=950&amp;height=800&amp;_dd2=%26f%3Dsld%26c%3Dtrue%26os%3D54797%26oe%3D54803" xr:uid="{921B0EE6-356F-4D4C-8C80-87EAF36EA363}"/>
    <hyperlink ref="B76" r:id="rId150" display="fdsup://factset/Doc Viewer Single?float_window=true&amp;positioning_strategy=center_on_screen&amp;_doc_docfn=U2FsdGVkX18iuQo7Lgzuxyamd8oGnPUJlLYtczUpQNGNa7xJbazR02ku5PTC/6qftwhEdVRV8BKYgrZZWd1bqPGN3P+qGYwfnbRISAnC18U=&amp;_app_id=central_doc_viewer&amp;center_on_screen=true&amp;width=950&amp;height=800&amp;_dd2=%26f%3Dsld%26c%3Dtrue%26os%3D30558%26oe%3D30564" xr:uid="{B3EA9B88-2390-449D-9968-901DAF2759ED}"/>
    <hyperlink ref="F77" r:id="rId151" display="fdsup://factset/Doc Viewer Single?float_window=true&amp;positioning_strategy=center_on_screen&amp;_doc_docfn=U2FsdGVkX1/IKdPiR8xcW4DlYwQdoR/i0jpgwBBB0aPELNqamZVB3LYj2MULmNWghQ5VcH1tiBPF0bTeqH8t/4S58DCTBot6RqCGkAs7xps=&amp;_app_id=central_doc_viewer&amp;center_on_screen=true&amp;width=950&amp;height=800&amp;_dd2=%26f%3Dsld%26c%3Dtrue%26os%3D60160%26oe%3D60169" xr:uid="{123F88DA-6754-458B-95B3-2A1C7573669A}"/>
    <hyperlink ref="E77" r:id="rId152" display="fdsup://factset/Doc Viewer Single?float_window=true&amp;positioning_strategy=center_on_screen&amp;_doc_docfn=U2FsdGVkX194IMIyhs9xgpkYpOUY1BLi4fdi/yKVStmJc/cuzxmaGDZZ8pW7zw0D70c/Yry+ZyACeu0ynhYju1qMb5R5EzmbqL2J09Msf8Y=&amp;_app_id=central_doc_viewer&amp;center_on_screen=true&amp;width=950&amp;height=800&amp;_dd2=%26f%3Dsld%26c%3Dtrue%26os%3D55334%26oe%3D55339" xr:uid="{F9E11DC4-C113-44C3-9664-42C2A82E3618}"/>
    <hyperlink ref="D77" r:id="rId153" display="fdsup://factset/Doc Viewer Single?float_window=true&amp;positioning_strategy=center_on_screen&amp;_doc_docfn=U2FsdGVkX19bWmx2KpHXdn9lo9YQTXNWxmvjVxnSbd4eZCUlDx6SkOc0wLMGGjnrI685RYMzlcEE/DXQY2ABbynatdszBqfD0352knr8J3w=&amp;_app_id=central_doc_viewer&amp;center_on_screen=true&amp;width=950&amp;height=800&amp;_dd2=%26f%3Dsld%26c%3Dtrue%26os%3D66029%26oe%3D66035" xr:uid="{FCE78A03-9FF3-408B-9F7D-45A82BFB03B7}"/>
    <hyperlink ref="C77" r:id="rId154" display="fdsup://factset/Doc Viewer Single?float_window=true&amp;positioning_strategy=center_on_screen&amp;_doc_docfn=U2FsdGVkX1+KXVtZ65EHDtv141TFQWcb49MeE3tzIgVWkXhwaIbobfIy97SLyLaPDSeRFOkqaU5lmbS/VHDWczCiW79qwWI9NfE7crgjWBE=&amp;_app_id=central_doc_viewer&amp;center_on_screen=true&amp;width=950&amp;height=800&amp;_dd2=%26f%3Dsld%26c%3Dtrue%26os%3D55319%26oe%3D55325" xr:uid="{E4413A79-0CFF-4D83-9EAB-99CF22B0DC2B}"/>
    <hyperlink ref="B77" r:id="rId155" display="fdsup://factset/Doc Viewer Single?float_window=true&amp;positioning_strategy=center_on_screen&amp;_doc_docfn=U2FsdGVkX1+9Wb+AqGDbWLXMaHiHPcCBQKBHJvi2ar+odw0X9GiRTAXOmj9TpaHyQFBAZemaT+OQa0SYHz5dXB6sEmC5P+SmF1mpryXvkKc=&amp;_app_id=central_doc_viewer&amp;center_on_screen=true&amp;width=950&amp;height=800&amp;_dd2=%26f%3Dsld%26c%3Dtrue%26os%3D31090%26oe%3D31095" xr:uid="{A81E0CDC-8D81-437B-96A6-65BCF969EC8F}"/>
    <hyperlink ref="F78" r:id="rId156" display="fdsup://factset/Doc Viewer Single?float_window=true&amp;positioning_strategy=center_on_screen&amp;_doc_docfn=U2FsdGVkX1/o7cu4It+zDy+QDaccm0kPU6mp+LTvt7jYueQG3wb8uIZKyD3bNIl4urQfb3dl1nRXkke7C8NiyZd0uBNul97SwMA9PmPnmO8=&amp;_app_id=central_doc_viewer&amp;center_on_screen=true&amp;width=950&amp;height=800&amp;_dd2=%26f%3Dsld%26c%3Dtrue%26os%3D61141%26oe%3D61152" xr:uid="{C317CBC4-98D7-45DF-8BF7-27A5CC4962B7}"/>
    <hyperlink ref="E78" r:id="rId157" display="fdsup://factset/Doc Viewer Single?float_window=true&amp;positioning_strategy=center_on_screen&amp;_doc_docfn=U2FsdGVkX1+Ydg3BAikdscD6DA7qvfmSqwBO2a6jAyHodFk+HHPXwMb06sIbv+51ozD4CD3x3FLlITsMA2Z/p91/TwpPe7RBHqddKdVF5uY=&amp;_app_id=central_doc_viewer&amp;center_on_screen=true&amp;width=950&amp;height=800&amp;_dd2=%26f%3Dsld%26c%3Dtrue%26os%3D56299%26oe%3D56306" xr:uid="{E3D7EAC5-CBD6-4484-A3A6-EB014035F9DE}"/>
    <hyperlink ref="D78" r:id="rId158" display="fdsup://factset/Doc Viewer Single?float_window=true&amp;positioning_strategy=center_on_screen&amp;_doc_docfn=U2FsdGVkX1+q2wDeZWL8mkCOBeubiaRYZUybY4zzZBnGfZ7F6rYULa7ZqhdTg4eDjOMJBz52iUapLLZbfhntGHRvbmMVDhVVdV2CLguFWzY=&amp;_app_id=central_doc_viewer&amp;center_on_screen=true&amp;width=950&amp;height=800&amp;_dd2=%26f%3Dsld%26c%3Dtrue%26os%3D66995%26oe%3D67002" xr:uid="{A356D94C-ED16-4EE8-8381-09B7ED6696FA}"/>
    <hyperlink ref="C78" r:id="rId159" display="fdsup://factset/Doc Viewer Single?float_window=true&amp;positioning_strategy=center_on_screen&amp;_doc_docfn=U2FsdGVkX1/6MfqTrg/K1iM9eYwCfW6qQsSEiEFEpi7+cAGXuodIJExW2pYm3CoBWohm/em9D0KogNweLJwM1Vx5erVzScYp0R9I2GVWExw=&amp;_app_id=central_doc_viewer&amp;center_on_screen=true&amp;width=950&amp;height=800&amp;_dd2=%26f%3Dsld%26c%3Dtrue%26os%3D56285%26oe%3D56292" xr:uid="{1F97E365-A570-4CDF-B03F-6719BCF856F6}"/>
    <hyperlink ref="B78" r:id="rId160" display="fdsup://factset/Doc Viewer Single?float_window=true&amp;positioning_strategy=center_on_screen&amp;_doc_docfn=U2FsdGVkX18REktauPlq2AnxjJiRXX4AIXjKS7rZyuWdPldL+gPoOPuivPzfOlCTGRPPuhW7JUY1ShqRWEEOFYtQJJoGdgm/T5D7WR4QLcc=&amp;_app_id=central_doc_viewer&amp;center_on_screen=true&amp;width=950&amp;height=800&amp;_dd2=%26f%3Dsld%26c%3Dtrue%26os%3D32077%26oe%3D32084" xr:uid="{E68E9132-2C1C-4EDB-B8A2-3A77A2385C81}"/>
    <hyperlink ref="F79" r:id="rId161" display="fdsup://factset/Doc Viewer Single?float_window=true&amp;positioning_strategy=center_on_screen&amp;_doc_docfn=U2FsdGVkX1/Ho3Dcu6C656Fgy53wkHGW+uc6R3bJ45gxD4DeAfLkzfsd6r3+F7vcUMLUQMZRkMRKG7+11xrl9mpi/TwL2u1wxfVjHVBeO74=&amp;_app_id=central_doc_viewer&amp;center_on_screen=true&amp;width=950&amp;height=800&amp;_dd2=%26f%3Dsld%26c%3Dtrue%26os%3D61653%26oe%3D61662" xr:uid="{0B6377A8-D17A-46F6-912C-2B98B77A0FAA}"/>
    <hyperlink ref="E79" r:id="rId162" display="fdsup://factset/Doc Viewer Single?float_window=true&amp;positioning_strategy=center_on_screen&amp;_doc_docfn=U2FsdGVkX1+Tkt6BBQWXFVSY5M44oACOOCzzaHk+yVBvo4siy1DHRgSGAHFG9oWCoeSlJyYpKww0G6+Fc/8hGjiJkO3EvAWXer2DapMC+GY=&amp;_app_id=central_doc_viewer&amp;center_on_screen=true&amp;width=950&amp;height=800&amp;_dd2=%26f%3Dsld%26c%3Dtrue%26os%3D56801%26oe%3D56806" xr:uid="{03258E78-63E7-42B2-A2B4-7073EAF3338B}"/>
    <hyperlink ref="D79" r:id="rId163" display="fdsup://factset/Doc Viewer Single?float_window=true&amp;positioning_strategy=center_on_screen&amp;_doc_docfn=U2FsdGVkX1/QlMLWm/eCrAOSjx3eIyUtQ/PS95B+J+4vwSGKtgrSeZjW8GWqVebEncv+6TVrmwQAIRtKOpnWQZVzcmv0u4Ov56E7EZ1n6ew=&amp;_app_id=central_doc_viewer&amp;center_on_screen=true&amp;width=950&amp;height=800&amp;_dd2=%26f%3Dsld%26c%3Dtrue%26os%3D67491%26oe%3D67492" xr:uid="{45F6BF8A-F5C0-4FFC-ABE1-E7A6993277FD}"/>
    <hyperlink ref="F80" r:id="rId164" display="fdsup://factset/Doc Viewer Single?float_window=true&amp;positioning_strategy=center_on_screen&amp;_doc_docfn=U2FsdGVkX18mYqXW00e3tU7D+mblBjs7NxKBzs8yjW9Rk2cIcX8lmecP4q7X3YquI45iYAzEN33VgZc1Z0kFCoR7fQnwnS/Je+5EGCn1Msw=&amp;_app_id=central_doc_viewer&amp;center_on_screen=true&amp;width=950&amp;height=800&amp;_dd2=%26f%3Dsld%26c%3Dtrue%26os%3D62097%26oe%3D62107" xr:uid="{490F5FA3-4BEA-4BEA-869E-733A7920FE42}"/>
    <hyperlink ref="E80" r:id="rId165" display="fdsup://factset/Doc Viewer Single?float_window=true&amp;positioning_strategy=center_on_screen&amp;_doc_docfn=U2FsdGVkX1+2DxY8FpGKA5Cgp5QQIsWyv/E0H9z1mLKRkjKi5sB4fBKq+/2nNX59NJvF93LfUnaDqK9582kxqxHXzHJd4S+rKKtKVwSP9Vo=&amp;_app_id=central_doc_viewer&amp;center_on_screen=true&amp;width=950&amp;height=800&amp;_dd2=%26f%3Dsld%26c%3Dtrue%26os%3D57235%26oe%3D57241" xr:uid="{B4CA1544-1949-4D3A-88D7-7CB75BE8FFAC}"/>
    <hyperlink ref="D80" r:id="rId166" display="fdsup://factset/Doc Viewer Single?float_window=true&amp;positioning_strategy=center_on_screen&amp;_doc_docfn=U2FsdGVkX1+d/HZ3p4NZGJcqy+KTgUyir6/MnW3xZyngWsephMMOBJcaZYia7qNUUG/Dyxl3xMffIm/gwgW0KfAjKLeuusVi76mmXS807Mk=&amp;_app_id=central_doc_viewer&amp;center_on_screen=true&amp;width=950&amp;height=800&amp;_dd2=%26f%3Dsld%26c%3Dtrue%26os%3D67921%26oe%3D67927" xr:uid="{AEBA8F81-DE9D-4E4E-91B1-2E14146AFDAE}"/>
    <hyperlink ref="C80" r:id="rId167" display="fdsup://factset/Doc Viewer Single?float_window=true&amp;positioning_strategy=center_on_screen&amp;_doc_docfn=U2FsdGVkX18VRpMEMQQDdmAk7hKpBKsYtVzfq09M2Q3P2DPHxsd+c//LeX6Bh37yJuIW7+vFJNb2rqO5INNtSEtIyCdcYYnapyICy+oSeNg=&amp;_app_id=central_doc_viewer&amp;center_on_screen=true&amp;width=950&amp;height=800&amp;_dd2=%26f%3Dsld%26c%3Dtrue%26os%3D56721%26oe%3D56727" xr:uid="{547923F6-F729-41AB-8EB9-941EAFA7292A}"/>
    <hyperlink ref="B80" r:id="rId168" display="fdsup://factset/Doc Viewer Single?float_window=true&amp;positioning_strategy=center_on_screen&amp;_doc_docfn=U2FsdGVkX19iXHFA+D4o4YLjpJKH3jssMt2fz9Ktx0kh/jpHjhPYZSMvCp1s7iEVGH/u2K+NiEOhmGFTqlZGt8Lrudowz/p/oPNjmpuAW0Q=&amp;_app_id=central_doc_viewer&amp;center_on_screen=true&amp;width=950&amp;height=800&amp;_dd2=%26f%3Dsld%26c%3Dtrue%26os%3D32524%26oe%3D32530" xr:uid="{210FAE83-4EDA-41C6-9D36-2FC302081EAA}"/>
    <hyperlink ref="F81" r:id="rId169" display="fdsup://factset/Doc Viewer Single?float_window=true&amp;positioning_strategy=center_on_screen&amp;_doc_docfn=U2FsdGVkX19E2GHHLWzCecjdnh1tZx4f+LezLQhAFsyefkZKw6KhbAug/p3XSM9Wh48EdUv7uNtlK9lGcFuJqLL7QQcL1AGLXQCy6C1xnpg=&amp;_app_id=central_doc_viewer&amp;center_on_screen=true&amp;width=950&amp;height=800&amp;_dd2=%26f%3Dsld%26c%3Dtrue%26os%3D62609%26oe%3D62618" xr:uid="{402B6D13-EF2A-4E0F-A5EA-ED22A7034BE8}"/>
    <hyperlink ref="E81" r:id="rId170" display="fdsup://factset/Doc Viewer Single?float_window=true&amp;positioning_strategy=center_on_screen&amp;_doc_docfn=U2FsdGVkX1/2YxcYZw066DXk7hqOBrQyxUSPEBwTYgypswVwdknsvj1X6FUC5NEmNOEl6xaiJrlqjhbPjz44iAuIAKEE3IJLrWjjum764e0=&amp;_app_id=central_doc_viewer&amp;center_on_screen=true&amp;width=950&amp;height=800&amp;_dd2=%26f%3Dsld%26c%3Dtrue%26os%3D57737%26oe%3D57742" xr:uid="{E551E683-065C-488E-B5C5-0702BC64CDAB}"/>
    <hyperlink ref="D81" r:id="rId171" display="fdsup://factset/Doc Viewer Single?float_window=true&amp;positioning_strategy=center_on_screen&amp;_doc_docfn=U2FsdGVkX1/NQ7qEpLISpLRaGCy+VYcoTy3HdIO73udsVKPHZxXru5R25OlDk9JkuuJ+LFOVs7Txx9HlvOOSGf0dbj7YUYCHC7y2N+As/Sw=&amp;_app_id=central_doc_viewer&amp;center_on_screen=true&amp;width=950&amp;height=800&amp;_dd2=%26f%3Dsld%26c%3Dtrue%26os%3D68423%26oe%3D68428" xr:uid="{E3EA1852-5EF1-421E-85B0-D72FBC52CDA0}"/>
    <hyperlink ref="C81" r:id="rId172" display="fdsup://factset/Doc Viewer Single?float_window=true&amp;positioning_strategy=center_on_screen&amp;_doc_docfn=U2FsdGVkX19QiNke2eLStFpGRlvboA3GLkz1wPoyyyX8Mz25S6IuZ8+4Q6nI6ydjfVRUUygApiUJm3LBAd/PIHJdtC7P4whQ5T9sSh6Cnuc=&amp;_app_id=central_doc_viewer&amp;center_on_screen=true&amp;width=950&amp;height=800&amp;_dd2=%26f%3Dsld%26c%3Dtrue%26os%3D57223%26oe%3D57228" xr:uid="{B28AA4A8-1BDF-49AA-BF62-0727D3499E8F}"/>
    <hyperlink ref="B81" r:id="rId173" display="fdsup://factset/Doc Viewer Single?float_window=true&amp;positioning_strategy=center_on_screen&amp;_doc_docfn=U2FsdGVkX18WJ7uYl2MjINTmV1y6IQQ1oalp8ed1hEl+BU69ZyQZ5nzG4CIh3ACOTeO+WzYsTT/wySK/lQM88s5H3lYQZXoeHg8zZu3rR4s=&amp;_app_id=central_doc_viewer&amp;center_on_screen=true&amp;width=950&amp;height=800&amp;_dd2=%26f%3Dsld%26c%3Dtrue%26os%3D33037%26oe%3D33042" xr:uid="{1E229298-3FE3-413E-A89A-9DE0762BE6F7}"/>
    <hyperlink ref="F82" r:id="rId174" display="fdsup://factset/Doc Viewer Single?float_window=true&amp;positioning_strategy=center_on_screen&amp;_doc_docfn=U2FsdGVkX18acGvZVc/iFOUv6MCmcAh7yBPcMq0GJERGvpiFMmdepzHw/fO15V/PhdPWdckSaBO6l7tVqXIBzIg5LyeULIYafsSlrlAHtuI=&amp;_app_id=central_doc_viewer&amp;center_on_screen=true&amp;width=950&amp;height=800&amp;_dd2=%26f%3Dsld%26c%3Dtrue%26os%3D63091%26oe%3D63098" xr:uid="{2657A121-268A-47CC-AF6D-7079C321BA1B}"/>
    <hyperlink ref="E82" r:id="rId175" display="fdsup://factset/Doc Viewer Single?float_window=true&amp;positioning_strategy=center_on_screen&amp;_doc_docfn=U2FsdGVkX1+2khmfNiFJL41a25BOMMe971L1IhRsu5ZuNg2PBgz2qHexgOhy9hRY5zfFQhjfOulF5Odk8cpGm6Cj1FMVa8+dItG7MOcWdDY=&amp;_app_id=central_doc_viewer&amp;center_on_screen=true&amp;width=950&amp;height=800&amp;_dd2=%26f%3Dsld%26c%3Dtrue%26os%3D58213%26oe%3D58216" xr:uid="{C60E2F13-ED56-4572-AEA3-EB37BD905866}"/>
    <hyperlink ref="D82" r:id="rId176" display="fdsup://factset/Doc Viewer Single?float_window=true&amp;positioning_strategy=center_on_screen&amp;_doc_docfn=U2FsdGVkX1+svbiIiZbfXJyI54R2vdVK6bMju1r2QTOCPPDkyPxKvzAb/0f9Rv70LKuQFxg/oM2rBpVtYt3sy9yYBRohqRxtXvxeVHTDVTI=&amp;_app_id=central_doc_viewer&amp;center_on_screen=true&amp;width=950&amp;height=800&amp;_dd2=%26f%3Dsld%26c%3Dtrue%26os%3D68899%26oe%3D68902" xr:uid="{6D391A05-893A-4906-AF00-063447B4C96D}"/>
    <hyperlink ref="C82" r:id="rId177" display="fdsup://factset/Doc Viewer Single?float_window=true&amp;positioning_strategy=center_on_screen&amp;_doc_docfn=U2FsdGVkX18UjgiLdd2r38ZeDOQSTVxTHHoinLmk8BPO+41b6uUNH9CPeCbejknv7b6a6Xbt+zF2134h3FJsQJkmWQ2d3CtOjdL0jeB2E0k=&amp;_app_id=central_doc_viewer&amp;center_on_screen=true&amp;width=950&amp;height=800&amp;_dd2=%26f%3Dsld%26c%3Dtrue%26os%3D57700%26oe%3D57705" xr:uid="{C3948D51-22B0-43A6-BE16-D3885B4FF0CA}"/>
    <hyperlink ref="B82" r:id="rId178" display="fdsup://factset/Doc Viewer Single?float_window=true&amp;positioning_strategy=center_on_screen&amp;_doc_docfn=U2FsdGVkX1/LmP6U0Z9wlp+tqB8fzhOBuKEqioT76JAc8D0Xdj3B5JBAcZJLNh6TLmzx8b2GO1dh1xgLtd78ueHgHVJSUyqYybRUYkC57rE=&amp;_app_id=central_doc_viewer&amp;center_on_screen=true&amp;width=950&amp;height=800&amp;_dd2=%26f%3Dsld%26c%3Dtrue%26os%3D33522%26oe%3D33523" xr:uid="{5DEFE8E3-EB07-4767-AD74-7B90D6BB6FFE}"/>
    <hyperlink ref="F83" r:id="rId179" display="fdsup://factset/Doc Viewer Single?float_window=true&amp;positioning_strategy=center_on_screen&amp;_doc_docfn=U2FsdGVkX1/bRdnHbo0j6f+PXexalnsTZEI2gWFDAhsOfaO2O790daXi0YSPFTLTbm7BRYPl5uim0SoyekSGBxjDwXf9gkMNUmBQoJq72KU=&amp;_app_id=central_doc_viewer&amp;center_on_screen=true&amp;width=950&amp;height=800&amp;_dd2=%26f%3Dsld%26c%3Dtrue%26os%3D63582%26oe%3D63583" xr:uid="{7F2DFA33-C99B-4EBE-AFE1-262D9C6BB7F8}"/>
    <hyperlink ref="F84" r:id="rId180" display="fdsup://factset/Doc Viewer Single?float_window=true&amp;positioning_strategy=center_on_screen&amp;_doc_docfn=U2FsdGVkX19ZYDHD/XQjZsLf8f0nxe9dBxeuhZPq2YAY5qbbcudFpjke0fw+5BLwxERWTSS36M9A6frqs/vsKx9UicvsuEyG2lx9XXNi1vk=&amp;_app_id=central_doc_viewer&amp;center_on_screen=true&amp;width=950&amp;height=800&amp;_dd2=%26f%3Dsld%26c%3Dtrue%26os%3D64045%26oe%3D64054" xr:uid="{52452B75-3298-4EF6-A67E-32C9633F19E3}"/>
    <hyperlink ref="E84" r:id="rId181" display="fdsup://factset/Doc Viewer Single?float_window=true&amp;positioning_strategy=center_on_screen&amp;_doc_docfn=U2FsdGVkX1+mKAtIJtQxbr4XTUN7QGDSX020VQ4+V0Ns56rD0qjUL5E81AiXvUx6/ZMCGyxTUJClsnO2PwA1F2MPpGwT6a1aLVAGHxHDZg8=&amp;_app_id=central_doc_viewer&amp;center_on_screen=true&amp;width=950&amp;height=800&amp;_dd2=%26f%3Dsld%26c%3Dtrue%26os%3D58672%26oe%3D58677" xr:uid="{A013E91A-4A77-431F-BDFD-911C62626BAD}"/>
    <hyperlink ref="D84" r:id="rId182" display="fdsup://factset/Doc Viewer Single?float_window=true&amp;positioning_strategy=center_on_screen&amp;_doc_docfn=U2FsdGVkX19lgSbQOcMXol/H5S6VHg4C7tkAfYP34l0pLHtp5+Z3yfIYfS78SbHGQyWfwaBpTagj7d8JMrWoJfxGzzo73t30USrdhlgO5t4=&amp;_app_id=central_doc_viewer&amp;center_on_screen=true&amp;width=950&amp;height=800&amp;_dd2=%26f%3Dsld%26c%3Dtrue%26os%3D69358%26oe%3D69363" xr:uid="{1AC9A4D5-B6BD-4D81-8806-92725658C9C1}"/>
    <hyperlink ref="C84" r:id="rId183" display="fdsup://factset/Doc Viewer Single?float_window=true&amp;positioning_strategy=center_on_screen&amp;_doc_docfn=U2FsdGVkX1+t4iV9MIpOVtt1lr4w5VAbL9S/ArIpyqELY/Sbb1F18gCcBadY8Fa4NTwEUUWPpazbhqZYrwyh+nW8FXVKW9ZBF3zXuI4Uj3Q=&amp;_app_id=central_doc_viewer&amp;center_on_screen=true&amp;width=950&amp;height=800&amp;_dd2=%26f%3Dsld%26c%3Dtrue%26os%3D58162%26oe%3D58168" xr:uid="{BA7E8C3C-E5CE-4D6F-B359-84AB45A73B71}"/>
    <hyperlink ref="B84" r:id="rId184" display="fdsup://factset/Doc Viewer Single?float_window=true&amp;positioning_strategy=center_on_screen&amp;_doc_docfn=U2FsdGVkX18Z5w4VkMdnJgx0muJtY7WBTvsXcwwxxeH++JVHApvR0x1jN5blpuvFif8Fl1ek1X772UWqi9Bq6uD4q3yybXa4Pu84sHK5Kk0=&amp;_app_id=central_doc_viewer&amp;center_on_screen=true&amp;width=950&amp;height=800&amp;_dd2=%26f%3Dsld%26c%3Dtrue%26os%3D33992%26oe%3D33997" xr:uid="{31F7AF1E-4746-4CDE-8E0C-8CEE5C7B81BF}"/>
    <hyperlink ref="E85" r:id="rId185" display="fdsup://factset/Doc Viewer Single?float_window=true&amp;positioning_strategy=center_on_screen&amp;_doc_docfn=U2FsdGVkX1+Fmxs3cIvS+9bFANy7qYMUBn/u1fTpOssNxPqcukKXoxKfp5qyicOtYKeQSFEoDI0ZLAZpaH8Ym30yzGYgla9KiuePxM2OkAo=&amp;_app_id=central_doc_viewer&amp;center_on_screen=true&amp;width=950&amp;height=800&amp;_dd2=%26f%3Dsld%26c%3Dtrue%26os%3D59146%26oe%3D59149" xr:uid="{D36E03F6-88EC-4612-A94C-C189D35BA907}"/>
    <hyperlink ref="D85" r:id="rId186" display="fdsup://factset/Doc Viewer Single?float_window=true&amp;positioning_strategy=center_on_screen&amp;_doc_docfn=U2FsdGVkX1+3rhiNEOZ2IjJMDgCe2wDfKIOAiFahkX9OwGXu3jFG+ePV06PqElyOws+EgmUc/CBxOg/nr57BkY+JbHmBWm1Bnb5VajzjbwE=&amp;_app_id=central_doc_viewer&amp;center_on_screen=true&amp;width=950&amp;height=800&amp;_dd2=%26f%3Dsld%26c%3Dtrue%26os%3D69840%26oe%3D69845" xr:uid="{C0DECA34-0E84-43A8-98DB-5E63B638ED60}"/>
    <hyperlink ref="C85" r:id="rId187" display="fdsup://factset/Doc Viewer Single?float_window=true&amp;positioning_strategy=center_on_screen&amp;_doc_docfn=U2FsdGVkX18Y+rdbEaX/jM8X4L6y+fqa9+BRxAejiiJ+F4kThliYbtCJAIUl9COee5jdxwoB9sb9uo7B9p/TQGyBW9UPWgIKrWwydNbB1og=&amp;_app_id=central_doc_viewer&amp;center_on_screen=true&amp;width=950&amp;height=800&amp;_dd2=%26f%3Dsld%26c%3Dtrue%26os%3D58648%26oe%3D58653" xr:uid="{38DA15C2-EBC8-4384-A65B-8C348D3DEDE2}"/>
    <hyperlink ref="B85" r:id="rId188" display="fdsup://factset/Doc Viewer Single?float_window=true&amp;positioning_strategy=center_on_screen&amp;_doc_docfn=U2FsdGVkX18NANF1wNvDMGaI9YtwdIYe3lsZnlaKQblXmA5m6oojExkoo30Gem0CHH0Bx+2zi1bQRTrdBUZ0qUbxikNaAJ4dFFnvCtNUtVA=&amp;_app_id=central_doc_viewer&amp;center_on_screen=true&amp;width=950&amp;height=800&amp;_dd2=%26f%3Dsld%26c%3Dtrue%26os%3D34488%26oe%3D34493" xr:uid="{BC7E98E2-0F63-4AF4-8F83-4D0D4C209101}"/>
    <hyperlink ref="F86" r:id="rId189" display="fdsup://factset/Doc Viewer Single?float_window=true&amp;positioning_strategy=center_on_screen&amp;_doc_docfn=U2FsdGVkX1+ojSz4ui8zNB4oHd4nOl8Gt6IzN7iFno6wqrnOxAc8XB404DZ/N71zQHD3FPgrutFxoMCxQLJDBdJOLTECtQIKGVle5CVNcso=&amp;_app_id=central_doc_viewer&amp;center_on_screen=true&amp;width=950&amp;height=800&amp;_dd2=%26f%3Dsld%26c%3Dtrue%26os%3D74917%26oe%3D74928" xr:uid="{C36F75C6-9705-4462-BA61-37E19F1A0490}"/>
    <hyperlink ref="E86" r:id="rId190" display="fdsup://factset/Doc Viewer Single?float_window=true&amp;positioning_strategy=center_on_screen&amp;_doc_docfn=U2FsdGVkX1/iWa/swnwmlxh/u1BZvsqHDJ1ev/40lm6mlFKlQK0KohC8wJTfIf85BtkHq58BOKu8QfP5VzBuhmrcPnksUhmR3A3Wmsp3ws8=&amp;_app_id=central_doc_viewer&amp;center_on_screen=true&amp;width=950&amp;height=800&amp;_dd2=%26f%3Dsld%26c%3Dtrue%26os%3D70371%26oe%3D70378" xr:uid="{F3A7CA08-4B5B-4643-A359-0F633C4240C3}"/>
    <hyperlink ref="D86" r:id="rId191" display="fdsup://factset/Doc Viewer Single?float_window=true&amp;positioning_strategy=center_on_screen&amp;_doc_docfn=U2FsdGVkX187QoDGfyUumWZ8S4lta6wV77Yse9teIbRb0sphHbAEV8qx/yzxvwsew50IFV/rizX6YXmXz0OFFXUIeZJ7LlLAw5czye6iZg8=&amp;_app_id=central_doc_viewer&amp;center_on_screen=true&amp;width=950&amp;height=800&amp;_dd2=%26f%3Dsld%26c%3Dtrue%26os%3D80486%26oe%3D80493" xr:uid="{3CFFA65A-252B-4042-9068-EA3F0E2C8CD0}"/>
    <hyperlink ref="C86" r:id="rId192" display="fdsup://factset/Doc Viewer Single?float_window=true&amp;positioning_strategy=center_on_screen&amp;_doc_docfn=U2FsdGVkX18BmUBHocbM9BwxgwiWG5K3Ttxxnee7FOht/BM/eWenZ9YVZPmJAB6KSGNrYYKQZTMaoAJFHq3l5/2/9ZgJK6EGNi50y0Ijkmo=&amp;_app_id=central_doc_viewer&amp;center_on_screen=true&amp;width=950&amp;height=800&amp;_dd2=%26f%3Dsld%26c%3Dtrue%26os%3D68261%26oe%3D68268" xr:uid="{68D08381-191C-4299-B527-9077AAAE410B}"/>
    <hyperlink ref="B86" r:id="rId193" display="fdsup://factset/Doc Viewer Single?float_window=true&amp;positioning_strategy=center_on_screen&amp;_doc_docfn=U2FsdGVkX19TCyHtEAwasyTP3ddFmUGt5Q823hN0vS9b3vICpPsgol/7BX2BTWvTpa7I4akAud52/UQT8EeJ2tVXFwcC0H0RMwnDs66btRg=&amp;_app_id=central_doc_viewer&amp;center_on_screen=true&amp;width=950&amp;height=800&amp;_dd2=%26f%3Dsld%26c%3Dtrue%26os%3D44831%26oe%3D44838" xr:uid="{31E170F7-AD7D-4EBB-856B-4C8459B244AC}"/>
    <hyperlink ref="F87" r:id="rId194" display="fdsup://factset/Doc Viewer Single?float_window=true&amp;positioning_strategy=center_on_screen&amp;_doc_docfn=U2FsdGVkX19AvBFRYEQInLJ0djIS6pPCtGWBwVvAgMQw4YwTVXuTwzqwz/F4YbkRsHBKZDGFLloKpCmSNGJU2bbBOVgh+D+7fQYfK+62qlY=&amp;_app_id=central_doc_viewer&amp;center_on_screen=true&amp;width=950&amp;height=800&amp;_dd2=%26f%3Dsld%26c%3Dtrue%26os%3D71128%26oe%3D71139" xr:uid="{3E6E93E1-1B1B-40E1-9D10-885C44BED11D}"/>
    <hyperlink ref="E87" r:id="rId195" display="fdsup://factset/Doc Viewer Single?float_window=true&amp;positioning_strategy=center_on_screen&amp;_doc_docfn=U2FsdGVkX195zhNLOxxFjeCXAtQyKK4OqN7TZZ5jomDdH/DQKYhvujnHGdnkVr9rm7wO0geVxLSYAfj7P3YTadwcwdbAh3FS4+7H98ToW4g=&amp;_app_id=central_doc_viewer&amp;center_on_screen=true&amp;width=950&amp;height=800&amp;_dd2=%26f%3Dsld%26c%3Dtrue%26os%3D66112%26oe%3D66119" xr:uid="{D9555C5B-DAA4-4056-94F6-40C6CC406D49}"/>
    <hyperlink ref="D87" r:id="rId196" display="fdsup://factset/Doc Viewer Single?float_window=true&amp;positioning_strategy=center_on_screen&amp;_doc_docfn=U2FsdGVkX1/9HJa3IohKSBqCOUsdQx8hHmdONgcaJcEsePgTGI5mfU7hviZJ6RmMEdAWEB+p2i7ULzjeYgx1GB+5cPmJQZHUXikaoWa+ndU=&amp;_app_id=central_doc_viewer&amp;center_on_screen=true&amp;width=950&amp;height=800&amp;_dd2=%26f%3Dsld%26c%3Dtrue%26os%3D76756%26oe%3D76763" xr:uid="{A78E3A6D-5E4C-4CB8-A2D1-B2C548B661F3}"/>
    <hyperlink ref="C87" r:id="rId197" display="fdsup://factset/Doc Viewer Single?float_window=true&amp;positioning_strategy=center_on_screen&amp;_doc_docfn=U2FsdGVkX1/XpFNejZard+Qn6p00PQs+WPKWn4408SdKTDPmYuWO4l0AqV/HCnCYUxtHknIIviRbQ4y6oirgyEeACNG0SIrZ0/8ZhcRHpIk=&amp;_app_id=central_doc_viewer&amp;center_on_screen=true&amp;width=950&amp;height=800&amp;_dd2=%26f%3Dsld%26c%3Dtrue%26os%3D64533%26oe%3D64540" xr:uid="{F69A23FF-7F39-42D8-8301-F3F5FDA0BDEE}"/>
    <hyperlink ref="B87" r:id="rId198" display="fdsup://factset/Doc Viewer Single?float_window=true&amp;positioning_strategy=center_on_screen&amp;_doc_docfn=U2FsdGVkX1+6AUzcHTSlE317k8WxWdzIGCQBlmvUnQnrq94s83Fjh5Z3Cg7IfozbSCsJLsNB7GFSOt3JEsd8/A0TbknMPXRXUGS5KGpEaV4=&amp;_app_id=central_doc_viewer&amp;center_on_screen=true&amp;width=950&amp;height=800&amp;_dd2=%26f%3Dsld%26c%3Dtrue%26os%3D40550%26oe%3D40557" xr:uid="{68A0EFC9-C277-4149-A683-0F912625918A}"/>
    <hyperlink ref="F88" r:id="rId199" display="fdsup://factset/Doc Viewer Single?float_window=true&amp;positioning_strategy=center_on_screen&amp;_doc_docfn=U2FsdGVkX1+e6bCJslNzvY5dXREG13EEB/1M2Zz2ymQiXQmatNv5eN4t4tgW8ISGhxCQDRZQflfE4LD0Kikx9fAcqBRe/xNfVmhH9qQNjwU=&amp;_app_id=central_doc_viewer&amp;center_on_screen=true&amp;width=950&amp;height=800&amp;_dd2=%26f%3Dsld%26c%3Dtrue%26os%3D67843%26oe%3D67854" xr:uid="{78C3AB96-17EA-41C5-AA87-76FCEE365CC8}"/>
    <hyperlink ref="E88" r:id="rId200" display="fdsup://factset/Doc Viewer Single?float_window=true&amp;positioning_strategy=center_on_screen&amp;_doc_docfn=U2FsdGVkX19wCEGzOP+lwHKMCMdHK1Q/n96EFZ4RiQyDPQNRpMyFiCCD+b4/JhJbVmiuDAJ5zZzqRCQr/3Dlseasrq8AS4RCv2EC38aRNfE=&amp;_app_id=central_doc_viewer&amp;center_on_screen=true&amp;width=950&amp;height=800&amp;_dd2=%26f%3Dsld%26c%3Dtrue%26os%3D62881%26oe%3D62888" xr:uid="{CEB42EFD-0E36-44CD-8BC6-02FC3422C722}"/>
    <hyperlink ref="D88" r:id="rId201" display="fdsup://factset/Doc Viewer Single?float_window=true&amp;positioning_strategy=center_on_screen&amp;_doc_docfn=U2FsdGVkX19uhaM9EehKGJb6BFViQJfFA8l5W1AH9qcvd0e+Met9+FZgQqRpkLZrxcXEzfVWX4RnLZI2wvvts811DeOq7dIxt8xoRA3NGVA=&amp;_app_id=central_doc_viewer&amp;center_on_screen=true&amp;width=950&amp;height=800&amp;_dd2=%26f%3Dsld%26c%3Dtrue%26os%3D73565%26oe%3D73572" xr:uid="{E1CF9636-6E04-4762-A4BB-A9D293F0B661}"/>
    <hyperlink ref="C88" r:id="rId202" display="fdsup://factset/Doc Viewer Single?float_window=true&amp;positioning_strategy=center_on_screen&amp;_doc_docfn=U2FsdGVkX18/GnL8HvvPTAtNSru3vHpdAPF9rTXwBpHO3+odOmCfd65mFCFPbgvZ/gWgw/lKzNxfv7Sz+IgNM+MOSzwXd6b/ZOqAFNKwfzE=&amp;_app_id=central_doc_viewer&amp;center_on_screen=true&amp;width=950&amp;height=800&amp;_dd2=%26f%3Dsld%26c%3Dtrue%26os%3D61860%26oe%3D61867" xr:uid="{09564EF1-E88E-48E5-B3EE-8D3CAFD7E339}"/>
    <hyperlink ref="B88" r:id="rId203" display="fdsup://factset/Doc Viewer Single?float_window=true&amp;positioning_strategy=center_on_screen&amp;_doc_docfn=U2FsdGVkX1/Dd2w+icAkk7ceGKCpj1wYoMkdFpouFelBiZIxh6lLZ7hAOHv4shl2K89vZul71utVUr23ame2W+hqanX6E5TUuJd3RavUC9I=&amp;_app_id=central_doc_viewer&amp;center_on_screen=true&amp;width=950&amp;height=800&amp;_dd2=%26f%3Dsld%26c%3Dtrue%26os%3D37789%26oe%3D37796" xr:uid="{A998A562-9B61-4BDA-A159-567DDB9DE49B}"/>
    <hyperlink ref="F89" r:id="rId204" display="fdsup://factset/Doc Viewer Single?float_window=true&amp;positioning_strategy=center_on_screen&amp;_doc_docfn=U2FsdGVkX1+VcfFc7NfimDcGQ7qTR6k9oFkSpLsf2FWwFrZtLOhCOr1XEp6bjjU2dkglyiqQXLK6adoGr/JlvbQF9ix/WPnNHZ5EEnaQzPo=&amp;_app_id=central_doc_viewer&amp;center_on_screen=true&amp;width=950&amp;height=800&amp;_dd2=%26f%3Dsld%26c%3Dtrue%26os%3D65232%26oe%3D65242" xr:uid="{C8A0BCA7-05ED-4745-BA9D-86506CB865D4}"/>
    <hyperlink ref="E89" r:id="rId205" display="fdsup://factset/Doc Viewer Single?float_window=true&amp;positioning_strategy=center_on_screen&amp;_doc_docfn=U2FsdGVkX18luwhi29WT2TjM7I+Hn7zSqqiDN05J3HSzaW9idBiyGj/nZCsJVAdqWRph2YY4XxHdGYi/UUT75ZZRxZA0KKUZ+FMTsBiP3xs=&amp;_app_id=central_doc_viewer&amp;center_on_screen=true&amp;width=950&amp;height=800&amp;_dd2=%26f%3Dsld%26c%3Dtrue%26os%3D60310%26oe%3D60316" xr:uid="{29488ECA-0BBD-40C7-94A0-C941CA2A35A6}"/>
    <hyperlink ref="D89" r:id="rId206" display="fdsup://factset/Doc Viewer Single?float_window=true&amp;positioning_strategy=center_on_screen&amp;_doc_docfn=U2FsdGVkX18K/NLXpjZe8EZKZCbOjpe8B+LxlUD43HlBVWKE8tGGQncFxc3EF3n1GmhWb1wLMfxh3lMXttNM4qizmExatAdJXlIdwV96jxI=&amp;_app_id=central_doc_viewer&amp;center_on_screen=true&amp;width=950&amp;height=800&amp;_dd2=%26f%3Dsld%26c%3Dtrue%26os%3D71006%26oe%3D71012" xr:uid="{4262C193-9D9A-4277-A0E1-C9A000001F10}"/>
    <hyperlink ref="C89" r:id="rId207" display="fdsup://factset/Doc Viewer Single?float_window=true&amp;positioning_strategy=center_on_screen&amp;_doc_docfn=U2FsdGVkX19BkFDTvB7n/7pkMfXGcXbmSI4itpX9SHTuuonsYU2sWkVuFo0+HKP2f0IFv5kTNM++VyKo1nArXxX5ccMJgF1y8ihB74rZiAs=&amp;_app_id=central_doc_viewer&amp;center_on_screen=true&amp;width=950&amp;height=800&amp;_dd2=%26f%3Dsld%26c%3Dtrue%26os%3D59814%26oe%3D59820" xr:uid="{CC4E15C6-721C-4FEE-ABE5-31ED23999D94}"/>
    <hyperlink ref="B89" r:id="rId208" display="fdsup://factset/Doc Viewer Single?float_window=true&amp;positioning_strategy=center_on_screen&amp;_doc_docfn=U2FsdGVkX1/SVF/t4sxLqPnPoY6rGKyx+pM7mm6hcz1BcRiTqZD8PL2UDfndmjfuPHnr16q8JIIL9dGM1t3batqOj+PnNK2uMxWh7wA6DsE=&amp;_app_id=central_doc_viewer&amp;center_on_screen=true&amp;width=950&amp;height=800&amp;_dd2=%26f%3Dsld%26c%3Dtrue%26os%3D35711%26oe%3D35717" xr:uid="{49AA1D21-71DC-4B2C-ADF7-A477BE3D0CC8}"/>
    <hyperlink ref="F90" r:id="rId209" display="fdsup://factset/Doc Viewer Single?float_window=true&amp;positioning_strategy=center_on_screen&amp;_doc_docfn=U2FsdGVkX1+ToRw7SBYhRZZmTYOZxW5xn5WAx01yCg/et3rSt0ZfsElwC4oYVhVwEyf748iZror4ErEBRbCtRhNia5qtx6y3nW00K6DcBWg=&amp;_app_id=central_doc_viewer&amp;center_on_screen=true&amp;width=950&amp;height=800&amp;_dd2=%26f%3Dsld%26c%3Dtrue%26os%3D65798%26oe%3D65808" xr:uid="{641EC1ED-5C21-4F7C-A608-CCF8B080FE0C}"/>
    <hyperlink ref="E90" r:id="rId210" display="fdsup://factset/Doc Viewer Single?float_window=true&amp;positioning_strategy=center_on_screen&amp;_doc_docfn=U2FsdGVkX1/XU1qOq3XQMLT2dtEY0xiVkzxNgqoYLYU2WNzIDaeZHvZobu5uun5BCuTtv60+vSEMaMncvY2jUpnmcZVQl4lAtNOz0y8kkvk=&amp;_app_id=central_doc_viewer&amp;center_on_screen=true&amp;width=950&amp;height=800&amp;_dd2=%26f%3Dsld%26c%3Dtrue%26os%3D60868%26oe%3D60874" xr:uid="{E72009BF-23F7-47AD-9E1C-4335B9F16744}"/>
    <hyperlink ref="D90" r:id="rId211" display="fdsup://factset/Doc Viewer Single?float_window=true&amp;positioning_strategy=center_on_screen&amp;_doc_docfn=U2FsdGVkX1//LQdYr/pbg4K/2EGHqpSwTungPsPLIJbmrNxLRTTHsOdXzBB/ogfT4zNkGvfRBYCYjoEFo1emaGZj7wkcC194VNRTmyEOGFU=&amp;_app_id=central_doc_viewer&amp;center_on_screen=true&amp;width=950&amp;height=800&amp;_dd2=%26f%3Dsld%26c%3Dtrue%26os%3D71564%26oe%3D71570" xr:uid="{5AA446AB-9441-4549-AC7E-88F9D2DA2210}"/>
    <hyperlink ref="C90" r:id="rId212" display="fdsup://factset/Doc Viewer Single?float_window=true&amp;positioning_strategy=center_on_screen&amp;_doc_docfn=U2FsdGVkX1/SuQg2Air/KKWlny1Z185mF4MQPC3I4nA/Vh8H4WoZZCEotPx9sdsHv0MT2DOA1jmUV96SAtUzIAilD4EZSn1YdzGH5UShCNE=&amp;_app_id=central_doc_viewer&amp;center_on_screen=true&amp;width=950&amp;height=800&amp;_dd2=%26f%3Dsld%26c%3Dtrue%26os%3D60372%26oe%3D60378" xr:uid="{7C3DB596-6B11-486D-A9D5-7FACA53DBC9C}"/>
    <hyperlink ref="B90" r:id="rId213" display="fdsup://factset/Doc Viewer Single?float_window=true&amp;positioning_strategy=center_on_screen&amp;_doc_docfn=U2FsdGVkX19VTmRUfqo3GkI4JBhgBnzSpIt4LvVFB68bcjJBBDwHJ+FFFiXS0fMi2tlqiel6794WyZC/npgq9s/oM0qBszsccE/wfqzB4yk=&amp;_app_id=central_doc_viewer&amp;center_on_screen=true&amp;width=950&amp;height=800&amp;_dd2=%26f%3Dsld%26c%3Dtrue%26os%3D36266%26oe%3D36272" xr:uid="{B70A957F-3383-4474-9EB7-4803BEB4B6A3}"/>
    <hyperlink ref="F91" r:id="rId214" display="fdsup://factset/Doc Viewer Single?float_window=true&amp;positioning_strategy=center_on_screen&amp;_doc_docfn=U2FsdGVkX18RzZ+eBxICNX/XpEBZZknU5JQNudolOU5TNNdKQDQ3986cukgeij1WlN8MSlUQCaITC4XLNoruIHi9XpI+mf1SYOPdMMxxT+Q=&amp;_app_id=central_doc_viewer&amp;center_on_screen=true&amp;width=950&amp;height=800&amp;_dd2=%26f%3Dsld%26c%3Dtrue%26os%3D66320%26oe%3D66329" xr:uid="{0F97080B-FBA6-4B88-95B5-F9436CE55624}"/>
    <hyperlink ref="E91" r:id="rId215" display="fdsup://factset/Doc Viewer Single?float_window=true&amp;positioning_strategy=center_on_screen&amp;_doc_docfn=U2FsdGVkX1+77k8mn3ntIxTRyTVnmD2zEHIqS+Sq2K/305i0x/jngZnE6PQ5CtXOYndGgh2PPuCCjbAGFgSjTRYGJ9txRbvMuzdLbgW/lMg=&amp;_app_id=central_doc_viewer&amp;center_on_screen=true&amp;width=950&amp;height=800&amp;_dd2=%26f%3Dsld%26c%3Dtrue%26os%3D61382%26oe%3D61387" xr:uid="{D385C312-0EF8-4AE5-8F3A-E2E6B6E765B2}"/>
    <hyperlink ref="D91" r:id="rId216" display="fdsup://factset/Doc Viewer Single?float_window=true&amp;positioning_strategy=center_on_screen&amp;_doc_docfn=U2FsdGVkX19UtL6bcIYNdqdJrpL8j8+re5To+DUgBXkVf1gJpCNH4sVvKa3cbdqjQ7gvlbalTmfKAQMfm8Y3KF7jEwi8hDVzN/RTtSowV7Q=&amp;_app_id=central_doc_viewer&amp;center_on_screen=true&amp;width=950&amp;height=800&amp;_dd2=%26f%3Dsld%26c%3Dtrue%26os%3D72072%26oe%3D72073" xr:uid="{A37A1B07-413B-405A-A7EF-9D817F72D07D}"/>
    <hyperlink ref="F92" r:id="rId217" display="fdsup://factset/Doc Viewer Single?float_window=true&amp;positioning_strategy=center_on_screen&amp;_doc_docfn=U2FsdGVkX18optOWoUNUKV9U3zK5iUU7MUpWjmhAoqSOfvdqbRaqbv3prUM7Sg7RHd56J6lSVM3vKkaYCdvbzReZDCt8M/sT/VqFcnXR0D0=&amp;_app_id=central_doc_viewer&amp;center_on_screen=true&amp;width=950&amp;height=800&amp;_dd2=%26f%3Dsld%26c%3Dtrue%26os%3D66812%26oe%3D66822" xr:uid="{D269F213-1724-4A96-B949-4C0A6088A98B}"/>
    <hyperlink ref="E92" r:id="rId218" display="fdsup://factset/Doc Viewer Single?float_window=true&amp;positioning_strategy=center_on_screen&amp;_doc_docfn=U2FsdGVkX1+P9N/XtgT/qepKpr6WBBn8Y80rxdi+YtaAOTFByKkrRUwiHpZ0kY0Msf+51N7OoRozEgQsMY/dkKITQV9Jd5VdqQ4WQl3yc2A=&amp;_app_id=central_doc_viewer&amp;center_on_screen=true&amp;width=950&amp;height=800&amp;_dd2=%26f%3Dsld%26c%3Dtrue%26os%3D61866%26oe%3D61872" xr:uid="{D4E2911B-C6AE-4DCD-B39C-26A42E5535B8}"/>
    <hyperlink ref="D92" r:id="rId219" display="fdsup://factset/Doc Viewer Single?float_window=true&amp;positioning_strategy=center_on_screen&amp;_doc_docfn=U2FsdGVkX19rWrrX4TgGAoBShG2NVKF6m0TCI+Mp5hCpTiEE5Qv5bEa6AyaL7iXwaVnUiveji1GqOH6G6E/zXpf+B6OOsdCIZSGsSNyTMxc=&amp;_app_id=central_doc_viewer&amp;center_on_screen=true&amp;width=950&amp;height=800&amp;_dd2=%26f%3Dsld%26c%3Dtrue%26os%3D72551%26oe%3D72556" xr:uid="{F25ED632-F012-4372-A47D-4807B16F257C}"/>
    <hyperlink ref="C92" r:id="rId220" display="fdsup://factset/Doc Viewer Single?float_window=true&amp;positioning_strategy=center_on_screen&amp;_doc_docfn=U2FsdGVkX1+b1e81CNTlQZFNAoMcD2nEKXob5NMpw+ltMUzok6f6SjhDRCY04wQjHZEsoxXMN3lJbuz+5n9bc9Etbd8d2AM6WvS+KH42sHo=&amp;_app_id=central_doc_viewer&amp;center_on_screen=true&amp;width=950&amp;height=800&amp;_dd2=%26f%3Dsld%26c%3Dtrue%26os%3D60845%26oe%3D60851" xr:uid="{E4FADCD5-DCE7-4C4A-B2FA-06B8065778A7}"/>
    <hyperlink ref="B92" r:id="rId221" display="fdsup://factset/Doc Viewer Single?float_window=true&amp;positioning_strategy=center_on_screen&amp;_doc_docfn=U2FsdGVkX19bS2a9dxZ54dN1s8YMsJFFI63vJPfaQmPRCJXEjR9sMM7+Xeupa1lFwDUraK+NPZBrZsMauXzNcQyAXCcGGd1qI/WAl5p8V7k=&amp;_app_id=central_doc_viewer&amp;center_on_screen=true&amp;width=950&amp;height=800&amp;_dd2=%26f%3Dsld%26c%3Dtrue%26os%3D36752%26oe%3D36758" xr:uid="{33D4B5A9-2A5A-4811-AA3A-789EEF683064}"/>
    <hyperlink ref="F93" r:id="rId222" display="fdsup://factset/Doc Viewer Single?float_window=true&amp;positioning_strategy=center_on_screen&amp;_doc_docfn=U2FsdGVkX1/d2HJ+RNddzpfkHgcwTdR/RdSTf9JjpM4odxhyIseHgu6nnciVpjjXjKzA3aUS/f7zXdcNAT7jfGvs297ysJ4oV9V1qcSO71g=&amp;_app_id=central_doc_viewer&amp;center_on_screen=true&amp;width=950&amp;height=800&amp;_dd2=%26f%3Dsld%26c%3Dtrue%26os%3D67359%26oe%3D67369" xr:uid="{0093219E-5E4D-4D13-8F76-12591E3EB3AA}"/>
    <hyperlink ref="E93" r:id="rId223" display="fdsup://factset/Doc Viewer Single?float_window=true&amp;positioning_strategy=center_on_screen&amp;_doc_docfn=U2FsdGVkX1/JDZmz5wAP056wQ+Z/wmQdnEBMuN1YfyxuzdGPeEzrSbuGjRXAmP0unXZTe4nWAFhLL+9tueVrsFoGu+4lFkmhn4Td0xMu6KU=&amp;_app_id=central_doc_viewer&amp;center_on_screen=true&amp;width=950&amp;height=800&amp;_dd2=%26f%3Dsld%26c%3Dtrue%26os%3D62405%26oe%3D62411" xr:uid="{8BBD7EB4-62E4-4B13-BBBB-5E844E87D039}"/>
    <hyperlink ref="D93" r:id="rId224" display="fdsup://factset/Doc Viewer Single?float_window=true&amp;positioning_strategy=center_on_screen&amp;_doc_docfn=U2FsdGVkX1/1kg1iFj06AlGhqmT/Mb0W48elRYNbA3cU2ezmWV0IJFpuevYVvLkoT4fdYCZbhziPsw5PH8jDaNaWTuV7Lx79hqq8+WPx3xc=&amp;_app_id=central_doc_viewer&amp;center_on_screen=true&amp;width=950&amp;height=800&amp;_dd2=%26f%3Dsld%26c%3Dtrue%26os%3D73089%26oe%3D73095" xr:uid="{015322C2-27ED-4581-876D-3AF43141495B}"/>
    <hyperlink ref="C93" r:id="rId225" display="fdsup://factset/Doc Viewer Single?float_window=true&amp;positioning_strategy=center_on_screen&amp;_doc_docfn=U2FsdGVkX1+ebHnDRM5OE2agplZSUvBTzbUJBU/JvOp1fQkYOwgHdp5YYFFINl2IHHWR7G3XVreOEdolijTNua/+r7oO5hveVHSufUaTFNU=&amp;_app_id=central_doc_viewer&amp;center_on_screen=true&amp;width=950&amp;height=800&amp;_dd2=%26f%3Dsld%26c%3Dtrue%26os%3D61384%26oe%3D61390" xr:uid="{C52A56DF-302D-49CA-9345-1CD24B012EE7}"/>
    <hyperlink ref="B93" r:id="rId226" display="fdsup://factset/Doc Viewer Single?float_window=true&amp;positioning_strategy=center_on_screen&amp;_doc_docfn=U2FsdGVkX1/ZEeuA3izn8rHZgHofb2D4UU826RFtcLFydf3RGxahac0HwK6/GZ0wbv3Igi4WISFaA4vLEvPVdtaXZ4Ymx2jUlHxqCgssLBA=&amp;_app_id=central_doc_viewer&amp;center_on_screen=true&amp;width=950&amp;height=800&amp;_dd2=%26f%3Dsld%26c%3Dtrue%26os%3D37302%26oe%3D37308" xr:uid="{3F84E6A2-7E45-4F8B-91DF-BBFFDC79A47B}"/>
    <hyperlink ref="F94" r:id="rId227" display="fdsup://factset/Doc Viewer Single?float_window=true&amp;positioning_strategy=center_on_screen&amp;_doc_docfn=U2FsdGVkX18Vn7WG2af9jbygpcglFxWunUNQ2L+Imh2Gzv8Okp6IqxzNzg+5HWQVm1WVYVnPnHj0Y5DGkCkOQAvjK3oRAgUpXvL59JMlXxE=&amp;_app_id=central_doc_viewer&amp;center_on_screen=true&amp;width=950&amp;height=800&amp;_dd2=%26f%3Dsld%26c%3Dtrue%26os%3D70665%26oe%3D70676" xr:uid="{DCC49B6A-70A8-4BED-8E14-05BC75B33157}"/>
    <hyperlink ref="E94" r:id="rId228" display="fdsup://factset/Doc Viewer Single?float_window=true&amp;positioning_strategy=center_on_screen&amp;_doc_docfn=U2FsdGVkX1+D68aohnMY46Aj1gbvZ49dV4CtZ4XPv+Wh9M534Q0P2RPvD6sJwXatSr80gtcZrauHJ34WQu56QK1ppOFxDiQVoAJd83vArrg=&amp;_app_id=central_doc_viewer&amp;center_on_screen=true&amp;width=950&amp;height=800&amp;_dd2=%26f%3Dsld%26c%3Dtrue%26os%3D65657%26oe%3D65664" xr:uid="{53964C40-080E-4FFE-8053-66CABD0F39AD}"/>
    <hyperlink ref="D94" r:id="rId229" display="fdsup://factset/Doc Viewer Single?float_window=true&amp;positioning_strategy=center_on_screen&amp;_doc_docfn=U2FsdGVkX1+TAAJMb4B2buBseRlI6zy/wTinjvFXvQJRClssHdv7XNUG3np1ZRzuEgtoZ9OBpxD+DNOLDQg/qOOZ9yYnwoqM4/mcuWZirbE=&amp;_app_id=central_doc_viewer&amp;center_on_screen=true&amp;width=950&amp;height=800&amp;_dd2=%26f%3Dsld%26c%3Dtrue%26os%3D76302%26oe%3D76308" xr:uid="{ABDBB4A3-F4F3-465E-8616-D53557609191}"/>
    <hyperlink ref="C94" r:id="rId230" display="fdsup://factset/Doc Viewer Single?float_window=true&amp;positioning_strategy=center_on_screen&amp;_doc_docfn=U2FsdGVkX19w9L/yykAyUA1QB3w8PSlbc33s+Ty53BLZ+6bnc8WOCRhtuzg/V7RpIfbZg+cie2EUuobpmBlMyi7J2UPy9GpGQyVzNzIOMno=&amp;_app_id=central_doc_viewer&amp;center_on_screen=true&amp;width=950&amp;height=800&amp;_dd2=%26f%3Dsld%26c%3Dtrue%26os%3D64079%26oe%3D64085" xr:uid="{CCF605E6-9FD4-4146-957F-5E3FBB131C3B}"/>
    <hyperlink ref="B94" r:id="rId231" display="fdsup://factset/Doc Viewer Single?float_window=true&amp;positioning_strategy=center_on_screen&amp;_doc_docfn=U2FsdGVkX1/V57QzLEFvUtysBzmzatTDVN6mq5IVu3T6jpGwGNwCTGNp1Kvpd/8jitWXzS4sYo6qfQeWgD9gSLBYJDZu0cJSFFaNAXvG9h8=&amp;_app_id=central_doc_viewer&amp;center_on_screen=true&amp;width=950&amp;height=800&amp;_dd2=%26f%3Dsld%26c%3Dtrue%26os%3D40085%26oe%3D40091" xr:uid="{F0A2F8A3-5297-4BF1-8D5C-4F5F302D7140}"/>
    <hyperlink ref="F95" r:id="rId232" display="fdsup://factset/Doc Viewer Single?float_window=true&amp;positioning_strategy=center_on_screen&amp;_doc_docfn=U2FsdGVkX19p7Lgn3tyyiNtu3i++8bz7XwZ8z5X3mR0xPJLGmWJgj/hb7aerVEBSpA6ciPqGY1p7P2QNQ7094wHNspAUn5pjFJw/WelIpbw=&amp;_app_id=central_doc_viewer&amp;center_on_screen=true&amp;width=950&amp;height=800&amp;_dd2=%26f%3Dsld%26c%3Dtrue%26os%3D68633%26oe%3D68644" xr:uid="{FE4BEFEE-F21E-4700-B6AA-1E111CDD2C8E}"/>
    <hyperlink ref="E95" r:id="rId233" display="fdsup://factset/Doc Viewer Single?float_window=true&amp;positioning_strategy=center_on_screen&amp;_doc_docfn=U2FsdGVkX18pqdkObsn+3lnNnE84MuH2eMv1Rar9mdvQqzgzjzGXRdIBsU3/chobq+ILxCI52ZO7HR9fZmZlWUZ2nXwOmGoYcHcoDw92X+o=&amp;_app_id=central_doc_viewer&amp;center_on_screen=true&amp;width=950&amp;height=800&amp;_dd2=%26f%3Dsld%26c%3Dtrue%26os%3D63662%26oe%3D63668" xr:uid="{08820747-54BE-4E00-B6BC-CEE27B430CF2}"/>
    <hyperlink ref="D95" r:id="rId234" display="fdsup://factset/Doc Viewer Single?float_window=true&amp;positioning_strategy=center_on_screen&amp;_doc_docfn=U2FsdGVkX1+m4nsjGGompUog/UN74fftTx+PIaj+Gh1NvzxeXzttHDr8PdK1Sc1M6lNJoUFOjIS5mshTQnm/qkV4SxXRYYShYWllbsM79cI=&amp;_app_id=central_doc_viewer&amp;center_on_screen=true&amp;width=950&amp;height=800&amp;_dd2=%26f%3Dsld%26c%3Dtrue%26os%3D74320%26oe%3D74326" xr:uid="{58F112F5-0AEE-4DF0-8600-00183AF15800}"/>
    <hyperlink ref="C95" r:id="rId235" display="fdsup://factset/Doc Viewer Single?float_window=true&amp;positioning_strategy=center_on_screen&amp;_doc_docfn=U2FsdGVkX19XOPdwGx5K/8A3dtm4aFwBfqL8+Qvm8eLrc56AOG3hjLfgzqVIFmtKkE7RBXGlKEZIRjsi7INFmKvtXW4+FV5eLUgqYnJ1uh8=&amp;_app_id=central_doc_viewer&amp;center_on_screen=true&amp;width=950&amp;height=800&amp;_dd2=%26f%3Dsld%26c%3Dtrue%26os%3D62615%26oe%3D62621" xr:uid="{A05DC08B-CCF9-4CCA-AFBB-0D4459E21C68}"/>
    <hyperlink ref="B95" r:id="rId236" display="fdsup://factset/Doc Viewer Single?float_window=true&amp;positioning_strategy=center_on_screen&amp;_doc_docfn=U2FsdGVkX1+KihP2ckPyuiWhm1NMf/p9Leeesv285j5k/W5niUKOlFEbZlam2j0YmufGQUGc1c6hps8WiHnEJhwmBDShE8b8r3R5kT3+1jc=&amp;_app_id=central_doc_viewer&amp;center_on_screen=true&amp;width=950&amp;height=800&amp;_dd2=%26f%3Dsld%26c%3Dtrue%26os%3D38590%26oe%3D38596" xr:uid="{BBEE295E-47E6-4CA3-B9C7-658C1F67B463}"/>
    <hyperlink ref="F96" r:id="rId237" display="fdsup://factset/Doc Viewer Single?float_window=true&amp;positioning_strategy=center_on_screen&amp;_doc_docfn=U2FsdGVkX1+96owOm/F8VeKukeuI3e4a2XjfRjDp+LrPXiY8+YVZxzlWtendR48Hpc9kXtnlX/aBxdXg+Vtho6k4vCSs/r4a8MmfV4o6KbU=&amp;_app_id=central_doc_viewer&amp;center_on_screen=true&amp;width=950&amp;height=800&amp;_dd2=%26f%3Dsld%26c%3Dtrue%26os%3D69169%26oe%3D69178" xr:uid="{78EDC6CB-E498-426B-A82C-F531E4E19788}"/>
    <hyperlink ref="E96" r:id="rId238" display="fdsup://factset/Doc Viewer Single?float_window=true&amp;positioning_strategy=center_on_screen&amp;_doc_docfn=U2FsdGVkX19fCwswv7UhqbuQu+MLomVGVKSHmfBt5+iBNCPBQ9KzJf5QzqAWOqPGrzGUSa2oP/hsxg6KHZMY1Cpho318FxJbjtdjNbLcw+o=&amp;_app_id=central_doc_viewer&amp;center_on_screen=true&amp;width=950&amp;height=800&amp;_dd2=%26f%3Dsld%26c%3Dtrue%26os%3D64187%26oe%3D64192" xr:uid="{CCDA1E68-769A-42D8-A38E-5C2CFBB619F2}"/>
    <hyperlink ref="D96" r:id="rId239" display="fdsup://factset/Doc Viewer Single?float_window=true&amp;positioning_strategy=center_on_screen&amp;_doc_docfn=U2FsdGVkX19H5NbJqTIG3uZmORKTWJHzN3Tt93UIUbVenYSEjztj0Q3AJk0YT9/GfOY0mysQJcF2YP8GM75i7wdaEsRkCKFUoIdTED6iKaY=&amp;_app_id=central_doc_viewer&amp;center_on_screen=true&amp;width=950&amp;height=800&amp;_dd2=%26f%3Dsld%26c%3Dtrue%26os%3D74839%26oe%3D74840" xr:uid="{FE214A61-03ED-4E47-BA02-551E8C969488}"/>
    <hyperlink ref="F97" r:id="rId240" display="fdsup://factset/Doc Viewer Single?float_window=true&amp;positioning_strategy=center_on_screen&amp;_doc_docfn=U2FsdGVkX19FfWWAVc+DDABpQhNFIq8SPGEySuN1Bcvd3uBVxCtItDFJ1L+cC17Zu1coPuB/XecA+lXSNuxfu1QSrQTNbI1c4EQfxukkox0=&amp;_app_id=central_doc_viewer&amp;center_on_screen=true&amp;width=950&amp;height=800&amp;_dd2=%26f%3Dsld%26c%3Dtrue%26os%3D69675%26oe%3D69685" xr:uid="{55983CB8-955F-4DE0-80B0-2886AAACBBD0}"/>
    <hyperlink ref="E97" r:id="rId241" display="fdsup://factset/Doc Viewer Single?float_window=true&amp;positioning_strategy=center_on_screen&amp;_doc_docfn=U2FsdGVkX19T44ER4EE0HJWFJtVjXQ+5HWu6JyqjQzh85dAT1/a1MniTYwrA8iD2njunEPhUIBdqulgBIZQn4+W3M/9amkwbHrLypduFN4E=&amp;_app_id=central_doc_viewer&amp;center_on_screen=true&amp;width=950&amp;height=800&amp;_dd2=%26f%3Dsld%26c%3Dtrue%26os%3D64685%26oe%3D64691" xr:uid="{972B6144-F57A-45B7-AD5C-36E61FE40A64}"/>
    <hyperlink ref="D97" r:id="rId242" display="fdsup://factset/Doc Viewer Single?float_window=true&amp;positioning_strategy=center_on_screen&amp;_doc_docfn=U2FsdGVkX18nmMCWRN6+JB2TcJ1wNc2pUM3ShobgOcsvI6SBkd6BjmmTPMkXiNIGlCxlC3NsmWVIsaqgYGo2ZdnI+cDlld7E1F8vHj/8+5U=&amp;_app_id=central_doc_viewer&amp;center_on_screen=true&amp;width=950&amp;height=800&amp;_dd2=%26f%3Dsld%26c%3Dtrue%26os%3D75333%26oe%3D75339" xr:uid="{7D62B8D5-0DE6-4BFE-B635-DFE075FEB060}"/>
    <hyperlink ref="C97" r:id="rId243" display="fdsup://factset/Doc Viewer Single?float_window=true&amp;positioning_strategy=center_on_screen&amp;_doc_docfn=U2FsdGVkX1/HaDNjUKqFdCqh8zRNMrxVbxKQThth5nQPXKRbW73THQm4wIcRZn3nPTcZCOm1iDF22x0T/Ua7iqwrKS07Kx4o6NoeVmZQ/K8=&amp;_app_id=central_doc_viewer&amp;center_on_screen=true&amp;width=950&amp;height=800&amp;_dd2=%26f%3Dsld%26c%3Dtrue%26os%3D63113%26oe%3D63118" xr:uid="{CB584970-015A-43B6-B28A-2AC85858D60D}"/>
    <hyperlink ref="B97" r:id="rId244" display="fdsup://factset/Doc Viewer Single?float_window=true&amp;positioning_strategy=center_on_screen&amp;_doc_docfn=U2FsdGVkX1/ZJevW3P/MP19uUmwkB78XzlBg+xuROzO1WACZqQ0r+xhl+MOMKesQptuRQyLGOzqrTGM9c5b/beduuoWl48haNJf0Wbzk8a8=&amp;_app_id=central_doc_viewer&amp;center_on_screen=true&amp;width=950&amp;height=800&amp;_dd2=%26f%3Dsld%26c%3Dtrue%26os%3D39097%26oe%3D39102" xr:uid="{FDFC867C-F3C3-445D-8843-796E2D958370}"/>
    <hyperlink ref="F98" r:id="rId245" display="fdsup://factset/Doc Viewer Single?float_window=true&amp;positioning_strategy=center_on_screen&amp;_doc_docfn=U2FsdGVkX187z+DSZHyk+jDYsJW9S5VnNuOww0P+BP8nqiKzd5iYTrdFVXO12CUUKsCoyfe2LTnCqQou+E6Czc6RepY4xKpLUv7/Wqvd7AQ=&amp;_app_id=central_doc_viewer&amp;center_on_screen=true&amp;width=950&amp;height=800&amp;_dd2=%26f%3Dsld%26c%3Dtrue%26os%3D70173%26oe%3D70183" xr:uid="{CD1DC2D4-3199-40D4-A2EC-4CA76A0BB8AF}"/>
    <hyperlink ref="E98" r:id="rId246" display="fdsup://factset/Doc Viewer Single?float_window=true&amp;positioning_strategy=center_on_screen&amp;_doc_docfn=U2FsdGVkX1/2DP6Oku467sU4DYycTnvH5N4gf0fX27W20q5APqp2slNxC55k38gj83VX7uCBsZnHwfYo84EX4J4d2gn8KX/6qJzgskTv5iU=&amp;_app_id=central_doc_viewer&amp;center_on_screen=true&amp;width=950&amp;height=800&amp;_dd2=%26f%3Dsld%26c%3Dtrue%26os%3D65174%26oe%3D65179" xr:uid="{D970ADC2-77A7-4A45-BBF6-7C9F58DE2AAE}"/>
    <hyperlink ref="D98" r:id="rId247" display="fdsup://factset/Doc Viewer Single?float_window=true&amp;positioning_strategy=center_on_screen&amp;_doc_docfn=U2FsdGVkX1+BE1FHGqdXj4yBvn2XKkpNsrVJF8oQ5c31fPP7mQXzoeP09ZlVvRoztwq0Ru+VuviBgcf6RGs+cSu2FZOmmLMyQp92OEzm7KM=&amp;_app_id=central_doc_viewer&amp;center_on_screen=true&amp;width=950&amp;height=800&amp;_dd2=%26f%3Dsld%26c%3Dtrue%26os%3D75820%26oe%3D75825" xr:uid="{7356D294-CA33-48D6-A6BC-BEDDCFAA0B7A}"/>
    <hyperlink ref="C98" r:id="rId248" display="fdsup://factset/Doc Viewer Single?float_window=true&amp;positioning_strategy=center_on_screen&amp;_doc_docfn=U2FsdGVkX19m2oLhWUcvXY7cJU0vETvPWMHxsKT54GkhfFHqdODBybSFxTJn4lYwxpmEosMk1D0H0GpqRxeUJ7ZLwaBSPrA+K+1FVQwXbyc=&amp;_app_id=central_doc_viewer&amp;center_on_screen=true&amp;width=950&amp;height=800&amp;_dd2=%26f%3Dsld%26c%3Dtrue%26os%3D63599%26oe%3D63604" xr:uid="{B565586B-4EF2-4590-91D9-C5C6543D8527}"/>
    <hyperlink ref="B98" r:id="rId249" display="fdsup://factset/Doc Viewer Single?float_window=true&amp;positioning_strategy=center_on_screen&amp;_doc_docfn=U2FsdGVkX18rBFRbe1DlDkqSFlM9dYQjZai7goP3TFr7qEXnrx/rywZSLkJAD/4Hwa3d7QbCDK+rL/75ruCZQHrBNqF8YZPf78pXLsnBMDk=&amp;_app_id=central_doc_viewer&amp;center_on_screen=true&amp;width=950&amp;height=800&amp;_dd2=%26f%3Dsld%26c%3Dtrue%26os%3D39594%26oe%3D39599" xr:uid="{AAD2A27D-0505-44FE-8EC6-4831FBC32AD6}"/>
    <hyperlink ref="F99" r:id="rId250" display="fdsup://factset/Doc Viewer Single?float_window=true&amp;positioning_strategy=center_on_screen&amp;_doc_docfn=U2FsdGVkX1/5g7qujdHHOkhOXGwnFp2iHW1BLGBun2ISCXAT+eLLQYrjvJohVsWtC4nljXK0C59QYu60Mg1IFDioi26e87EIA5jtxR6HQ9w=&amp;_app_id=central_doc_viewer&amp;center_on_screen=true&amp;width=950&amp;height=800&amp;_dd2=%26f%3Dsld%26c%3Dtrue%26os%3D74384%26oe%3D74395" xr:uid="{BE851B34-B10B-4B0D-99C6-73745F8FFB76}"/>
    <hyperlink ref="E99" r:id="rId251" display="fdsup://factset/Doc Viewer Single?float_window=true&amp;positioning_strategy=center_on_screen&amp;_doc_docfn=U2FsdGVkX18o8ye9LTzxqwwF0tCoXyVkopDs6r/I5p1W2ruHy6o3MsqTGYTIkWMhd2XEOduI8Ylh8PmmcOw59fuofZI16EdtwBZDgXQraY4=&amp;_app_id=central_doc_viewer&amp;center_on_screen=true&amp;width=950&amp;height=800&amp;_dd2=%26f%3Dsld%26c%3Dtrue%26os%3D69849%26oe%3D69856" xr:uid="{F155E3FB-86AF-4CAA-AFAA-B911EFF22519}"/>
    <hyperlink ref="D99" r:id="rId252" display="fdsup://factset/Doc Viewer Single?float_window=true&amp;positioning_strategy=center_on_screen&amp;_doc_docfn=U2FsdGVkX193xFXy3Vepo0gzI+pSPXVbXg0gy+gv43cGOTTvhHHofrkuCqom8+auTaKeQ9g0mwXampjMbFXMI/ciQJbEUjJB1p7BHxbaOXo=&amp;_app_id=central_doc_viewer&amp;center_on_screen=true&amp;width=950&amp;height=800&amp;_dd2=%26f%3Dsld%26c%3Dtrue%26os%3D79964%26oe%3D79971" xr:uid="{A9FFE952-BFBA-45AB-AA48-D45E9128680E}"/>
    <hyperlink ref="C99" r:id="rId253" display="fdsup://factset/Doc Viewer Single?float_window=true&amp;positioning_strategy=center_on_screen&amp;_doc_docfn=U2FsdGVkX1/jy0lESo/hNBwLmhxLY8bR3ZJDDVPsiFH/X/wokH3L6q42RYI/ejFPhsZXjzsJ9wli1Iq8gRZOwWKzz/Rkox5y4+NBo368uNk=&amp;_app_id=central_doc_viewer&amp;center_on_screen=true&amp;width=950&amp;height=800&amp;_dd2=%26f%3Dsld%26c%3Dtrue%26os%3D67739%26oe%3D67746" xr:uid="{BD4C7868-1133-4AD4-9962-E31D9A083C32}"/>
    <hyperlink ref="B99" r:id="rId254" display="fdsup://factset/Doc Viewer Single?float_window=true&amp;positioning_strategy=center_on_screen&amp;_doc_docfn=U2FsdGVkX19EjzPfNLD+B+b0r9eo3oovFK2mwYIHDFJ01IpwZ1EVwNVkAlqBlPER3gTIcTw2Fk1GRYuN1uOzVBfn6+yEnn/xaHSQwTi5hRs=&amp;_app_id=central_doc_viewer&amp;center_on_screen=true&amp;width=950&amp;height=800&amp;_dd2=%26f%3Dsld%26c%3Dtrue%26os%3D44298%26oe%3D44305" xr:uid="{CD100EAE-3D54-4771-84FF-216990BB4442}"/>
    <hyperlink ref="F100" r:id="rId255" display="fdsup://factset/Doc Viewer Single?float_window=true&amp;positioning_strategy=center_on_screen&amp;_doc_docfn=U2FsdGVkX19eMkMmuP/qKRp/+zIxGlfdxx0zksoLThr8uxTu6KYMJt1v12+MaozUK5IuT02jnCPm92dzxXXv7+s1/J5vqpFuwzabskeTMqQ=&amp;_app_id=central_doc_viewer&amp;center_on_screen=true&amp;width=950&amp;height=800&amp;_dd2=%26f%3Dsld%26c%3Dtrue%26os%3D72347%26oe%3D72348" xr:uid="{82336861-F5DB-47BD-B4F3-579D2513C9D9}"/>
    <hyperlink ref="E100" r:id="rId256" display="fdsup://factset/Doc Viewer Single?float_window=true&amp;positioning_strategy=center_on_screen&amp;_doc_docfn=U2FsdGVkX192njUTfySJIHx0usROU2SMmkEqqYEkJONNTiKVZU/oEWYtkT0GTz14vHRKHRsjNmmfxSQStqQjd7Rm3qYvJXJ4hEoA9Lt/6Uc=&amp;_app_id=central_doc_viewer&amp;center_on_screen=true&amp;width=950&amp;height=800&amp;_dd2=%26f%3Dsld%26c%3Dtrue%26os%3D67327%26oe%3D67328" xr:uid="{6104B5E1-A357-4653-81F8-0213641921E2}"/>
    <hyperlink ref="D100" r:id="rId257" display="fdsup://factset/Doc Viewer Single?float_window=true&amp;positioning_strategy=center_on_screen&amp;_doc_docfn=U2FsdGVkX19MjmeDI93b9GhAJmfqRKgPmdU9w7/fYxT3j/wpYRY5ExzHR8KMohE506jOFWfPBx1+0EW7S7gly2hFrmdMq7lY6iclZdyb78U=&amp;_app_id=central_doc_viewer&amp;center_on_screen=true&amp;width=950&amp;height=800&amp;_dd2=%26f%3Dsld%26c%3Dtrue%26os%3D77971%26oe%3D77972" xr:uid="{20FAD76F-CE1B-43A3-B19E-DF19A7530710}"/>
    <hyperlink ref="C100" r:id="rId258" display="fdsup://factset/Doc Viewer Single?float_window=true&amp;positioning_strategy=center_on_screen&amp;_doc_docfn=U2FsdGVkX1/Qqo8EoQoQCkalAcdxVrzA0rNy0qjkVkrtt+8FOaTK7Uxi55p/7xyVoMV+h1IAxGNUtFB2ixwZO+wQATvm4qcKbpbw6QzHoW4=&amp;_app_id=central_doc_viewer&amp;center_on_screen=true&amp;width=950&amp;height=800&amp;_dd2=%26f%3Dsld%26c%3Dtrue%26os%3D65748%26oe%3D65749" xr:uid="{3C4A9774-DB87-4838-8646-DC18306AD718}"/>
    <hyperlink ref="B100" r:id="rId259" display="fdsup://factset/Doc Viewer Single?float_window=true&amp;positioning_strategy=center_on_screen&amp;_doc_docfn=U2FsdGVkX1/1TzGi4WIPnTK6RHVRjy/Uq65mn9nWyEK6x3oxLS7sAOqFGbaaxcJp/9Oa+nQQVa30rs8WuortcP8Mvbe41T5fXRSC43OFjKg=&amp;_app_id=central_doc_viewer&amp;center_on_screen=true&amp;width=950&amp;height=800&amp;_dd2=%26f%3Dsld%26c%3Dtrue%26os%3D41871%26oe%3D41872" xr:uid="{206E73CA-EA98-457F-A301-06D9E7DDCAE7}"/>
    <hyperlink ref="B101" r:id="rId260" display="fdsup://factset/Doc Viewer Single?float_window=true&amp;positioning_strategy=center_on_screen&amp;_doc_docfn=U2FsdGVkX1+0pT+AX/Mjyvo07OMB+7jVZKQXwr0JaMufKaNCl9NXWazfkJpA9JyZKyIagDi4pdaVVJLz4FLCy3PHUA9ABQvzrq62mFBZdvA=&amp;_app_id=central_doc_viewer&amp;center_on_screen=true&amp;width=950&amp;height=800&amp;_dd2=%26f%3Dsld%26c%3Dtrue%26os%3D42324%26oe%3D42326" xr:uid="{EE05834C-A6C8-4D5D-924D-3E42C5B2F509}"/>
    <hyperlink ref="F102" r:id="rId261" display="fdsup://factset/Doc Viewer Single?float_window=true&amp;positioning_strategy=center_on_screen&amp;_doc_docfn=U2FsdGVkX18V3AvYC2mABKnV/FbQI9SKZI9kPhmU1+zKc8CgT+BU+xUXoHomBho3rXPlOaxQ5TujddvELbKoq5esLMM2aiAftj0qg3Oz/dI=&amp;_app_id=central_doc_viewer&amp;center_on_screen=true&amp;width=950&amp;height=800&amp;_dd2=%26f%3Dsld%26c%3Dtrue%26os%3D86678%26oe%3D86684" xr:uid="{6FEFA105-BB2F-4B2A-A7B8-2FF924903905}"/>
    <hyperlink ref="E102" r:id="rId262" display="fdsup://factset/Doc Viewer Single?float_window=true&amp;positioning_strategy=center_on_screen&amp;_doc_docfn=U2FsdGVkX195lAC9BhPUa+q3jQeMdWKW8oHuxqLxwkng8avV4S/aXkdJF2Ls43LMS2Hbx5TF+7euFYyvXUQI6o5O+JV04a06qnlwLSfY4U4=&amp;_app_id=central_doc_viewer&amp;center_on_screen=true&amp;width=950&amp;height=800&amp;_dd2=%26f%3Dsld%26c%3Dtrue%26os%3D71320%26oe%3D71322" xr:uid="{8541823F-5B8A-40BF-8559-3B1BBA9A4DB6}"/>
    <hyperlink ref="D102" r:id="rId263" display="fdsup://factset/Doc Viewer Single?float_window=true&amp;positioning_strategy=center_on_screen&amp;_doc_docfn=U2FsdGVkX19/upxhW3gpKSa2SwVHkl3s7RA5R7ZF2NItquSatBpU1u7VpyInYPP2Y5zdkGDUdMfPYbrTIZG1msoxSt++rDeeTJX9Ag0CKJ8=&amp;_app_id=central_doc_viewer&amp;center_on_screen=true&amp;width=950&amp;height=800&amp;_dd2=%26f%3Dsld%26c%3Dtrue%26os%3D81435%26oe%3D81437" xr:uid="{6144BDE4-9C42-4264-8CF4-F3790B4E5107}"/>
    <hyperlink ref="C102" r:id="rId264" display="fdsup://factset/Doc Viewer Single?float_window=true&amp;positioning_strategy=center_on_screen&amp;_doc_docfn=U2FsdGVkX18oTq+2tWRh3sClFxRpEV6iC7+m9J4y+yZiZMOxXz+/+F6a44kWH3/PuBX9vxNLdKFc7bgSNgSbBs49qH5iQpufp+l+LNePBoQ=&amp;_app_id=central_doc_viewer&amp;center_on_screen=true&amp;width=950&amp;height=800&amp;_dd2=%26f%3Dsld%26c%3Dtrue%26os%3D69210%26oe%3D69212" xr:uid="{D66789EA-212F-437C-90B2-FCD72DBC47EB}"/>
    <hyperlink ref="B102" r:id="rId265" display="fdsup://factset/Doc Viewer Single?float_window=true&amp;positioning_strategy=center_on_screen&amp;_doc_docfn=U2FsdGVkX1/FhQOsLnrIb6BR913bRrUIQ14apGLbiPkpsPgyzoV/S88dFXCgo2HS2GLRsWhsjzhOvqZJuM2E4hVVGvET9j08b1eZ/15gfVk=&amp;_app_id=central_doc_viewer&amp;center_on_screen=true&amp;width=950&amp;height=800&amp;_dd2=%26f%3Dsld%26c%3Dtrue%26os%3D45981%26oe%3D45982" xr:uid="{BC582F9B-0264-4A2C-A647-C2BE12CA1C2C}"/>
    <hyperlink ref="F103" r:id="rId266" display="fdsup://factset/Doc Viewer Single?float_window=true&amp;positioning_strategy=center_on_screen&amp;_doc_docfn=U2FsdGVkX19agGIwL2vx6CCFN60Ap8C3s+4o/Ao6smJ9NPjioTeF4E3gvdTWOGPiTT0ETeIGokkAsEWHLnMaFa3f4wLNgKjscHtgtXhaMWE=&amp;_app_id=central_doc_viewer&amp;center_on_screen=true&amp;width=950&amp;height=800&amp;_dd2=%26f%3Dsld%26c%3Dtrue%26os%3D90567%26oe%3D90573" xr:uid="{582ACD35-7791-41C9-83EA-43DC4981D66F}"/>
    <hyperlink ref="E103" r:id="rId267" display="fdsup://factset/Doc Viewer Single?float_window=true&amp;positioning_strategy=center_on_screen&amp;_doc_docfn=U2FsdGVkX1+yqec+BLrNJBR+SEmolcu2AAEm6/7RyBcGB2ATUaTRTirntIznTbC5gcWmhvxbU/cyyLtUj0lNSBB07cPCnDh6ps5qPFSSQsE=&amp;_app_id=central_doc_viewer&amp;center_on_screen=true&amp;width=950&amp;height=800&amp;_dd2=%26f%3Dsld%26c%3Dtrue%26os%3D72268%26oe%3D72270" xr:uid="{71742566-4510-4913-8F38-5D2C05FDBB73}"/>
    <hyperlink ref="D103" r:id="rId268" display="fdsup://factset/Doc Viewer Single?float_window=true&amp;positioning_strategy=center_on_screen&amp;_doc_docfn=U2FsdGVkX1/gLoDTf4/xaVUxLrcHLZ6WeofnpKRdoOfyB8qhK2fqnD0GGEombt98HbDK71jXOYEhUlnZQLqDuENuTogBq5ziybqa4XeO3Ic=&amp;_app_id=central_doc_viewer&amp;center_on_screen=true&amp;width=950&amp;height=800&amp;_dd2=%26f%3Dsld%26c%3Dtrue%26os%3D82383%26oe%3D82385" xr:uid="{204695C6-0A43-4C38-BDE6-0EAE82A81DC1}"/>
    <hyperlink ref="C103" r:id="rId269" display="fdsup://factset/Doc Viewer Single?float_window=true&amp;positioning_strategy=center_on_screen&amp;_doc_docfn=U2FsdGVkX19MK7lzTJUG/wNvWaJ32AGA4v0RIFn0GzO6HF8pxT7tjyJQ5HxBotOC4KCbzjFQfd8JHhVx8k7jQI6pPcFw0IkrwI/6RINN83c=&amp;_app_id=central_doc_viewer&amp;center_on_screen=true&amp;width=950&amp;height=800&amp;_dd2=%26f%3Dsld%26c%3Dtrue%26os%3D70614%26oe%3D70616" xr:uid="{4AED9FF5-E63D-4591-B271-140C5F56C37D}"/>
    <hyperlink ref="B103" r:id="rId270" display="fdsup://factset/Doc Viewer Single?float_window=true&amp;positioning_strategy=center_on_screen&amp;_doc_docfn=U2FsdGVkX1+JhlWmG37oCDmZzeGv6E92BCJJXPhGsynoVlHRaRwkFyj0eh1pmutMGNnZxSRZUXa/Dd0RTH9voWgssJbD4OgqzaqgriPZa28=&amp;_app_id=central_doc_viewer&amp;center_on_screen=true&amp;width=950&amp;height=800&amp;_dd2=%26f%3Dsld%26c%3Dtrue%26os%3D47715%26oe%3D47716" xr:uid="{D27EA85E-BFB3-4CBF-9787-EE3FD6E0D709}"/>
    <hyperlink ref="F104" r:id="rId271" display="fdsup://factset/Doc Viewer Single?float_window=true&amp;positioning_strategy=center_on_screen&amp;_doc_docfn=U2FsdGVkX19ptUoKeoZvXwb6KTdQRv8v6fy0xjTOj07I6W0e1ULmyOqNUeOpM3U1jM4BU+gnfMY6OmJX5gE9Z5NFbw5k2TjCX4eMKcQNIeQ=&amp;_app_id=central_doc_viewer&amp;center_on_screen=true&amp;width=950&amp;height=800&amp;_dd2=%26f%3Dsld%26c%3Dtrue%26os%3D72832%26oe%3D72843" xr:uid="{364EFE53-B9DD-4EA6-B51C-A39E4477E584}"/>
    <hyperlink ref="E104" r:id="rId272" display="fdsup://factset/Doc Viewer Single?float_window=true&amp;positioning_strategy=center_on_screen&amp;_doc_docfn=U2FsdGVkX1+DPgpLnaoAEYmMHqV1xweOV0OtldVrJi8iCDPP84oR40G3qD9qnO8abXBvEFIn/JEvGfhJT5ic7s88WXKp7qwt5rAuHxHjGzY=&amp;_app_id=central_doc_viewer&amp;center_on_screen=true&amp;width=950&amp;height=800&amp;_dd2=%26f%3Dsld%26c%3Dtrue%26os%3D67808%26oe%3D67815" xr:uid="{F24DA821-1A6F-467D-B18E-C04A1435CCED}"/>
    <hyperlink ref="D104" r:id="rId273" display="fdsup://factset/Doc Viewer Single?float_window=true&amp;positioning_strategy=center_on_screen&amp;_doc_docfn=U2FsdGVkX1+TE2Uz08InW9tOuqVWvhFzfDrXyL+v8kJr0WnY2cY4nFnkQuM1a4JmWZsKmXsZWHxapntmTYMrp5gHgYo82ODzoqBBb2/Us6Y=&amp;_app_id=central_doc_viewer&amp;center_on_screen=true&amp;width=950&amp;height=800&amp;_dd2=%26f%3Dsld%26c%3Dtrue%26os%3D78452%26oe%3D78459" xr:uid="{CCCC8AE4-B236-40D1-82B7-863DA7F66E35}"/>
    <hyperlink ref="C104" r:id="rId274" display="fdsup://factset/Doc Viewer Single?float_window=true&amp;positioning_strategy=center_on_screen&amp;_doc_docfn=U2FsdGVkX196oFGypK3GxrSjodsnmSBI/u+XtrniZl9pcyA/JtZBxzDELgWDbis6u/6APs2mQvs9UZHRZ//tO8QHUc5PDG1sN6JI7a6xMoA=&amp;_app_id=central_doc_viewer&amp;center_on_screen=true&amp;width=950&amp;height=800&amp;_dd2=%26f%3Dsld%26c%3Dtrue%26os%3D66229%26oe%3D66236" xr:uid="{59D2BA5D-6437-42E8-B6EF-AD4F478F9510}"/>
    <hyperlink ref="B104" r:id="rId275" display="fdsup://factset/Doc Viewer Single?float_window=true&amp;positioning_strategy=center_on_screen&amp;_doc_docfn=U2FsdGVkX18Ahq4jnczzRxU0siR1O8Qeb9WfIPKBESRzZk/vmjj+Vj9QpITeIH/ssNMxK1en8INsjwikCzJyI46aIZsTNeTy3eHvRkqz0C0=&amp;_app_id=central_doc_viewer&amp;center_on_screen=true&amp;width=950&amp;height=800&amp;_dd2=%26f%3Dsld%26c%3Dtrue%26os%3D42817%26oe%3D42824" xr:uid="{005C0814-5FBE-4B5F-898E-34C8B36B36B3}"/>
    <hyperlink ref="F105" r:id="rId276" display="fdsup://factset/Doc Viewer Single?float_window=true&amp;positioning_strategy=center_on_screen&amp;_doc_docfn=U2FsdGVkX193fhr2dnUa0gC3haFnTO53XE5O4rRF7ioL5ZLn6dDyub0ysJaq1yOD0tQQfLLn7ANRneJCUfnSnrs25g9hUoDYnzYlhpiHPdw=&amp;_app_id=central_doc_viewer&amp;center_on_screen=true&amp;width=950&amp;height=800&amp;_dd2=%26f%3Dsld%26c%3Dtrue%26os%3D87135%26oe%3D87136" xr:uid="{79081365-23B0-4758-8543-E28567F15E4C}"/>
    <hyperlink ref="F106" r:id="rId277" display="fdsup://factset/Doc Viewer Single?float_window=true&amp;positioning_strategy=center_on_screen&amp;_doc_docfn=U2FsdGVkX18MyeURSLIbZvfqXQvDLp0GHrZcU/UO72kOCAE7kxbahqgpYMdNuMXWjCHHPC4L2aNL/bSrN1JmZPeBgHj3t7NDiv2WHFgDFho=&amp;_app_id=central_doc_viewer&amp;center_on_screen=true&amp;width=950&amp;height=800&amp;_dd2=%26f%3Dsld%26c%3Dtrue%26os%3D91038%26oe%3D91050" xr:uid="{ECCDD0B7-2CD1-4035-8477-2877A24A42C1}"/>
    <hyperlink ref="E106" r:id="rId278" display="fdsup://factset/Doc Viewer Single?float_window=true&amp;positioning_strategy=center_on_screen&amp;_doc_docfn=U2FsdGVkX19vRoZycjYmnUKi6eFohp8NVCjqv/vMLgbh5VnK6sDVLXMm3PqkDQdQbwVhFwNnMX84BAJH31s146n8sBjuwWyyw1HeYcqFV+g=&amp;_app_id=central_doc_viewer&amp;center_on_screen=true&amp;width=950&amp;height=800&amp;_dd2=%26f%3Dsld%26c%3Dtrue%26os%3D68341%26oe%3D68349" xr:uid="{B705E15A-5439-43A6-8B1D-96119D98A58E}"/>
    <hyperlink ref="D106" r:id="rId279" display="fdsup://factset/Doc Viewer Single?float_window=true&amp;positioning_strategy=center_on_screen&amp;_doc_docfn=U2FsdGVkX1+M/N4QxwjHa7XUs4QSFjYsNp2cEnmXjGivr69vphWmYlGytGufcQfEHJMnd4QS8dphPU2EFA0mdHAJ30XISWnVYu4Y34j9pg4=&amp;_app_id=central_doc_viewer&amp;center_on_screen=true&amp;width=950&amp;height=800&amp;_dd2=%26f%3Dsld%26c%3Dtrue%26os%3D78985%26oe%3D78993" xr:uid="{3AE0EDEF-E65C-4331-A117-082C61D52F84}"/>
    <hyperlink ref="C106" r:id="rId280" display="fdsup://factset/Doc Viewer Single?float_window=true&amp;positioning_strategy=center_on_screen&amp;_doc_docfn=U2FsdGVkX1/16KI7VnnbkbeRUBwYcvc8LbCJtwc5+GequaNLz9u0tJPoWaCBPp3tryuWaehJh5NOVaDLVbClD8dq4FQwHGcl6tGRUQ1pozg=&amp;_app_id=central_doc_viewer&amp;center_on_screen=true&amp;width=950&amp;height=800&amp;_dd2=%26f%3Dsld%26c%3Dtrue%26os%3D66762%26oe%3D66770" xr:uid="{AD975738-6ECE-4475-A9DD-985EBD6D0266}"/>
    <hyperlink ref="B106" r:id="rId281" display="fdsup://factset/Doc Viewer Single?float_window=true&amp;positioning_strategy=center_on_screen&amp;_doc_docfn=U2FsdGVkX18cGeDi2lQ2hgVlVX8jQehdV7b1RCCgNY6QmrRWi2Yd7JPtgRtADiEnAzffHI6MwC6fopd91Clx3derGO6DpJhsZerX0q2YbLw=&amp;_app_id=central_doc_viewer&amp;center_on_screen=true&amp;width=950&amp;height=800&amp;_dd2=%26f%3Dsld%26c%3Dtrue%26os%3D43301%26oe%3D43309" xr:uid="{CAB5484D-96C2-46C8-AD87-381FE84CC950}"/>
    <hyperlink ref="F107" r:id="rId282" display="fdsup://factset/Doc Viewer Single?float_window=true&amp;positioning_strategy=center_on_screen&amp;_doc_docfn=U2FsdGVkX1++ieNZtkHHWo3R+OOkAdUJi7WzDymABwDwFPotph3VhgvETJAaMePWmqDCbViKcTLxvazttoTqalkdG56mip2L56+I6lzbd9w=&amp;_app_id=central_doc_viewer&amp;center_on_screen=true&amp;width=950&amp;height=800&amp;_dd2=%26f%3Dsld%26c%3Dtrue%26os%3D73393%26oe%3D73401" xr:uid="{4ADF29B8-8156-4BC8-82EF-83100CA9B4B9}"/>
    <hyperlink ref="E107" r:id="rId283" display="fdsup://factset/Doc Viewer Single?float_window=true&amp;positioning_strategy=center_on_screen&amp;_doc_docfn=U2FsdGVkX19cGYOyK6ADFQ1wDOQqBhdgr2jMFYQsBbqDmwB7GvOGn8RXV+/R6OFIqfavKmkLtTZNRn/jw9KaC6YoqWPZiICE3OcAOXLXGRM=&amp;_app_id=central_doc_viewer&amp;center_on_screen=true&amp;width=950&amp;height=800&amp;_dd2=%26f%3Dsld%26c%3Dtrue%26os%3D68877%26oe%3D68878" xr:uid="{FDD1E46C-C315-4A15-ADEF-A064E357B2F3}"/>
    <hyperlink ref="F108" r:id="rId284" display="fdsup://factset/Doc Viewer Single?float_window=true&amp;positioning_strategy=center_on_screen&amp;_doc_docfn=U2FsdGVkX18UTzePve5f3cptFFBLkT+VEyvZBNEcib8+nIzm3wwS8fnmwnLGJgUvYdSHvVJYqQSa1yWEW9ds+Ub19DC0rjmWXja6cCe2YFA=&amp;_app_id=central_doc_viewer&amp;center_on_screen=true&amp;width=950&amp;height=800&amp;_dd2=%26f%3Dsld%26c%3Dtrue%26os%3D73898%26oe%3D73909" xr:uid="{44E26797-890A-4EFB-8C4C-D91DFFBCAB39}"/>
    <hyperlink ref="E108" r:id="rId285" display="fdsup://factset/Doc Viewer Single?float_window=true&amp;positioning_strategy=center_on_screen&amp;_doc_docfn=U2FsdGVkX1+pmyx7lgGjBJGDXWw3YcC6CuauGG4SM8+vKQGLV13YC3Ar1kdDJXYK+UjploqE2RrsSfP0OOinn6/eYVTsFV7NCWfpNHB504g=&amp;_app_id=central_doc_viewer&amp;center_on_screen=true&amp;width=950&amp;height=800&amp;_dd2=%26f%3Dsld%26c%3Dtrue%26os%3D69371%26oe%3D69378" xr:uid="{6F92EFEE-9623-469B-A41B-0A2A640284F5}"/>
    <hyperlink ref="D108" r:id="rId286" display="fdsup://factset/Doc Viewer Single?float_window=true&amp;positioning_strategy=center_on_screen&amp;_doc_docfn=U2FsdGVkX19l5+DXov2SG9PPh8CvJdVY64R++2A3bPeuTWOwrRWcA1hrXg5mleJ0r0nSewprINRaYPwGcmzWXWKLHbtvBSLrLmg6O/nkn0Q=&amp;_app_id=central_doc_viewer&amp;center_on_screen=true&amp;width=950&amp;height=800&amp;_dd2=%26f%3Dsld%26c%3Dtrue%26os%3D79486%26oe%3D79493" xr:uid="{F73E8204-0F87-41C3-9BBA-6F6A86943492}"/>
    <hyperlink ref="C108" r:id="rId287" display="fdsup://factset/Doc Viewer Single?float_window=true&amp;positioning_strategy=center_on_screen&amp;_doc_docfn=U2FsdGVkX19WDBfFp9DAasFpUmxszT8LJpQTBcQFzl/Sbo1PnDutxPZbN9rw0xtzCQWvcm5E5iKZBCiWnqqbueMtPHBc34VDXIcEOZ1T3e4=&amp;_app_id=central_doc_viewer&amp;center_on_screen=true&amp;width=950&amp;height=800&amp;_dd2=%26f%3Dsld%26c%3Dtrue%26os%3D67262%26oe%3D67268" xr:uid="{7FD50240-EC31-41E7-91B4-87DBA5B24030}"/>
    <hyperlink ref="B108" r:id="rId288" display="fdsup://factset/Doc Viewer Single?float_window=true&amp;positioning_strategy=center_on_screen&amp;_doc_docfn=U2FsdGVkX1/2Zqfc3lUouGNlpj4fHyoSsPexIl56WYMCUTHMoXA/a8swh5ywJGcf3rWZihiws8BPJuSV3MW/UADYApYk4LZms5XHSk782iY=&amp;_app_id=central_doc_viewer&amp;center_on_screen=true&amp;width=950&amp;height=800&amp;_dd2=%26f%3Dsld%26c%3Dtrue%26os%3D43810%26oe%3D43816" xr:uid="{DEB6A169-F282-4138-859B-0E0A492F6DB3}"/>
    <hyperlink ref="K70" r:id="rId289" display="fdsup://factset/Doc Viewer Single?float_window=true&amp;positioning_strategy=center_on_screen&amp;_doc_docfn=U2FsdGVkX1/LuqHClgKKyrFuhlwXdYwNg7xNju01BL8jgiomzdF4nQRMME+w/Ne4NRuhOFehh+xvDsasV7Qt/d6CP1UDBZ22Estp+4Dx8DI=&amp;_app_id=central_doc_viewer&amp;center_on_screen=true&amp;width=950&amp;height=800&amp;_dd2=%26f%3Dsld%26c%3Dtrue%26os%3D66004%26oe%3D66013" xr:uid="{467C95AB-762B-4BC6-BAF0-26BB1757E606}"/>
    <hyperlink ref="K71" r:id="rId290" display="fdsup://factset/Doc Viewer Single?float_window=true&amp;positioning_strategy=center_on_screen&amp;_doc_docfn=U2FsdGVkX1/g2w7lirjtnOIPFXNumrptOi5E41y56S900Rdluey2QyUYxbdX+mbMLpXVRCS8fWz6xCK97kXsMGnXKni7LySIoyPFdNN91E8=&amp;_app_id=central_doc_viewer&amp;center_on_screen=true&amp;width=950&amp;height=800&amp;_dd2=%26f%3Dsld%26c%3Dtrue%26os%3D62179%26oe%3D62186" xr:uid="{C7AAD9C2-66B8-4BDC-8341-5717B31BD5AC}"/>
    <hyperlink ref="K72" r:id="rId291" display="fdsup://factset/Doc Viewer Single?float_window=true&amp;positioning_strategy=center_on_screen&amp;_doc_docfn=U2FsdGVkX18nlW4UCUPIzcyqePs9N7r/lTEoGNMzX+3jU2g+gTaOrcA7G5zx/IsYkbeSY1Dvl7BAIxzBPhBiVDjip1xQEg+2C27QZiakdDw=&amp;_app_id=central_doc_viewer&amp;center_on_screen=true&amp;width=950&amp;height=800&amp;_dd2=%26f%3Dsld%26c%3Dtrue%26os%3D59204%26oe%3D59210" xr:uid="{150D71F4-CA81-4CD2-9C31-F4BE6CB38518}"/>
    <hyperlink ref="K73" r:id="rId292" display="fdsup://factset/Doc Viewer Single?float_window=true&amp;positioning_strategy=center_on_screen&amp;_doc_docfn=U2FsdGVkX18lWe2iN8m8X31pPgzNFitgQJ/3TXYAT7lJ59oG8siWf7ZlFktFIaXkXlxY00iNiwrEGiRzKP3cmXaG0GnEulRBRX0zOJ0bKLY=&amp;_app_id=central_doc_viewer&amp;center_on_screen=true&amp;width=950&amp;height=800&amp;_dd2=%26f%3Dsld%26c%3Dtrue%26os%3D59664%26oe%3D59666" xr:uid="{F70F15CC-9508-4A6B-B770-688A69B582AD}"/>
    <hyperlink ref="K74" r:id="rId293" display="fdsup://factset/Doc Viewer Single?float_window=true&amp;positioning_strategy=center_on_screen&amp;_doc_docfn=U2FsdGVkX18fMf7giBEI3Y1cO4MoZlpLwoy9y2fpeDPog0z0bR3wZFqx8AJEx61EJ5kmwD09XxVWzmEeG15hJilMZWOvFBqyEJIeBGlkXq4=&amp;_app_id=central_doc_viewer&amp;center_on_screen=true&amp;width=950&amp;height=800&amp;_dd2=%26f%3Dsld%26c%3Dtrue%26os%3D60195%26oe%3D60202" xr:uid="{08528211-4746-4F74-81A8-790BC6DCCC94}"/>
    <hyperlink ref="K75" r:id="rId294" display="fdsup://factset/Doc Viewer Single?float_window=true&amp;positioning_strategy=center_on_screen&amp;_doc_docfn=U2FsdGVkX18IRrHe95mIzrYyW3CKo8JuzneGqRsqCuOoa3BHRVpbXFwd9YHMi7CpZvJofgndprgk9jcX4aXaBBRbGkmZzGhtRo0oke4v3Ew=&amp;_app_id=central_doc_viewer&amp;center_on_screen=true&amp;width=950&amp;height=800&amp;_dd2=%26f%3Dsld%26c%3Dtrue%26os%3D60752%26oe%3D60758" xr:uid="{6DC29713-2FAD-4B8D-B469-7911DF07CD14}"/>
    <hyperlink ref="K76" r:id="rId295" display="fdsup://factset/Doc Viewer Single?float_window=true&amp;positioning_strategy=center_on_screen&amp;_doc_docfn=U2FsdGVkX19d5/O3iGfcCzAPy4RoSyT6XZFjBvCEIPL5v4Deqjxy+aE4VHmX0lptxsDjeLHTjdecP2azwpDorT25teSTXehgD4Z9IqQZnXs=&amp;_app_id=central_doc_viewer&amp;center_on_screen=true&amp;width=950&amp;height=800&amp;_dd2=%26f%3Dsld%26c%3Dtrue%26os%3D61198%26oe%3D61204" xr:uid="{C81015FD-ECF1-43BB-B483-9A41632D15A6}"/>
    <hyperlink ref="K77" r:id="rId296" display="fdsup://factset/Doc Viewer Single?float_window=true&amp;positioning_strategy=center_on_screen&amp;_doc_docfn=U2FsdGVkX18EFbZsg8ZJmTiDyHe8xgbZ8ppriG8aPlmYotX+jEaNS9A88AEFQiWDbExGJzDQVzVIGRLgTeZHdZcZQtrYP/pIvKliSn9b0Z4=&amp;_app_id=central_doc_viewer&amp;center_on_screen=true&amp;width=950&amp;height=800&amp;_dd2=%26f%3Dsld%26c%3Dtrue%26os%3D61718%26oe%3D61724" xr:uid="{91963F6C-B976-4582-9949-9FD283BA7BAC}"/>
    <hyperlink ref="K78" r:id="rId297" display="fdsup://factset/Doc Viewer Single?float_window=true&amp;positioning_strategy=center_on_screen&amp;_doc_docfn=U2FsdGVkX1/TWzqPrX9nAPkyNMAUV7m2w8WGBGI5IA7M0zCiXkxwYa3Nr5BTvnLgTBef57TBNnYDs1pJAvhwPtGH+TSC675Jfiil+l6JPD4=&amp;_app_id=central_doc_viewer&amp;center_on_screen=true&amp;width=950&amp;height=800&amp;_dd2=%26f%3Dsld%26c%3Dtrue%26os%3D62684%26oe%3D62691" xr:uid="{0E7083B4-9280-4C29-8794-18538B49C2A4}"/>
    <hyperlink ref="K79" r:id="rId298" display="fdsup://factset/Doc Viewer Single?float_window=true&amp;positioning_strategy=center_on_screen&amp;_doc_docfn=U2FsdGVkX19hiAkbyqdv18s9DvcdqAjSmnLMwieuwfEPB49Q1HwZzS4md1Rdu/5hNSF7rbzTVudEqvyNFNTAPe9hsLisAAiFdCT3RYRd1Wk=&amp;_app_id=central_doc_viewer&amp;center_on_screen=true&amp;width=950&amp;height=800&amp;_dd2=%26f%3Dsld%26c%3Dtrue%26os%3D63189%26oe%3D63195" xr:uid="{CA7D9B0A-474A-4EA5-91D0-4EE0DB7BA444}"/>
    <hyperlink ref="K80" r:id="rId299" display="fdsup://factset/Doc Viewer Single?float_window=true&amp;positioning_strategy=center_on_screen&amp;_doc_docfn=U2FsdGVkX1+eEmNWqS2p+FaVTCqw8DnhhZ07rIOOOBLcqOEK0+qEZ6AO/kNDtBqmXWXndXD7mTFoSTqzbdfAe7UNAFlYQPMHfcR9wbQCpKg=&amp;_app_id=central_doc_viewer&amp;center_on_screen=true&amp;width=950&amp;height=800&amp;_dd2=%26f%3Dsld%26c%3Dtrue%26os%3D63627%26oe%3D63634" xr:uid="{E8D5C770-45D1-4558-8D0C-A443E87F68AA}"/>
    <hyperlink ref="K81" r:id="rId300" display="fdsup://factset/Doc Viewer Single?float_window=true&amp;positioning_strategy=center_on_screen&amp;_doc_docfn=U2FsdGVkX183OEz/4WJ3JGVceOirgYJBLC5LltwxBvGdBltBTSBPbsvNbfl/iCMfnYYqAaDDUuVNJd/CKWJZvEg55jJ3ABONyJxiiZgzbiE=&amp;_app_id=central_doc_viewer&amp;center_on_screen=true&amp;width=950&amp;height=800&amp;_dd2=%26f%3Dsld%26c%3Dtrue%26os%3D64133%26oe%3D64139" xr:uid="{8B586CE9-F85A-410A-9261-6A66DE304C4C}"/>
    <hyperlink ref="K82" r:id="rId301" display="fdsup://factset/Doc Viewer Single?float_window=true&amp;positioning_strategy=center_on_screen&amp;_doc_docfn=U2FsdGVkX19SCOomqHQeyZL1hZ3f0oYeVYPnWljirVILsKG2BO+eMb9GeqhJ5zyNZS0T3gb0b/WENOpFvsFkmZ1JqB7Ihh2+EyorLiRirnU=&amp;_app_id=central_doc_viewer&amp;center_on_screen=true&amp;width=950&amp;height=800&amp;_dd2=%26f%3Dsld%26c%3Dtrue%26os%3D64607%26oe%3D64609" xr:uid="{75B70157-4DA5-4A2F-938A-477321B490AF}"/>
    <hyperlink ref="K83" r:id="rId302" display="fdsup://factset/Doc Viewer Single?float_window=true&amp;positioning_strategy=center_on_screen&amp;_doc_docfn=U2FsdGVkX18Hg0GlJ3d8yDYyC4lDD+iExMHnq5N9E6oJ6zeNZ3IQWN3HknWgRjbQvzLeir5eU5BbrIZlDHfi2THQJ625vAFNEbUqQYqcdUY=&amp;_app_id=central_doc_viewer&amp;center_on_screen=true&amp;width=950&amp;height=800&amp;_dd2=%26f%3Dsld%26c%3Dtrue%26os%3D65097%26oe%3D65102" xr:uid="{14C9052B-DDC0-4C17-B712-C8A0BB3D9CAA}"/>
    <hyperlink ref="K84" r:id="rId303" display="fdsup://factset/Doc Viewer Single?float_window=true&amp;positioning_strategy=center_on_screen&amp;_doc_docfn=U2FsdGVkX18XjEhbbFhC1su/dGdGlfXwyQ2rOvlnOIjU917MeeHU4OJsl+kWhZPK06JnaBOugQZyT0eu7oCwMhB/yNP95AVFfo+1zEVcTvU=&amp;_app_id=central_doc_viewer&amp;center_on_screen=true&amp;width=950&amp;height=800&amp;_dd2=%26f%3Dsld%26c%3Dtrue%26os%3D65561%26oe%3D65567" xr:uid="{B8A16847-A773-4238-B674-B60143199C52}"/>
    <hyperlink ref="K86" r:id="rId304" display="fdsup://factset/Doc Viewer Single?float_window=true&amp;positioning_strategy=center_on_screen&amp;_doc_docfn=U2FsdGVkX19rxHvMRR2zEjy7KbPgi994Uf6I22E2o3JQ2dHx6nw0Fbua1LPX71mVn7+fS5Bkb7nWjn96oU1kp4ghBp/I+FKLNnLCqKnWGjA=&amp;_app_id=central_doc_viewer&amp;center_on_screen=true&amp;width=950&amp;height=800&amp;_dd2=%26f%3Dsld%26c%3Dtrue%26os%3D76305%26oe%3D76314" xr:uid="{3C3926DD-69D6-4F6E-AAF3-F9CCF25C91CE}"/>
    <hyperlink ref="K87" r:id="rId305" display="fdsup://factset/Doc Viewer Single?float_window=true&amp;positioning_strategy=center_on_screen&amp;_doc_docfn=U2FsdGVkX19ynBInJgq5cipTFpTrwPcHQ5DpA6CU2oBrJ3rPAG2glkBBoPg573BXtpi52Tq6rfpRXlAEDguGxW5Qe/F0GEoBnuxhag0iVc4=&amp;_app_id=central_doc_viewer&amp;center_on_screen=true&amp;width=950&amp;height=800&amp;_dd2=%26f%3Dsld%26c%3Dtrue%26os%3D72557%26oe%3D72564" xr:uid="{C22AE359-2130-4B4E-A6D1-03C8137E8E1F}"/>
    <hyperlink ref="K88" r:id="rId306" display="fdsup://factset/Doc Viewer Single?float_window=true&amp;positioning_strategy=center_on_screen&amp;_doc_docfn=U2FsdGVkX19IAE+1KVhtTDmylfLNWbFYslV02yZFGwqMlvDspxUBx60r+vDmbAQCyKwS0ahqXyPG9A56y/sRIxhaQ9E1rSe4XajNO4GNlnY=&amp;_app_id=central_doc_viewer&amp;center_on_screen=true&amp;width=950&amp;height=800&amp;_dd2=%26f%3Dsld%26c%3Dtrue%26os%3D69309%26oe%3D69316" xr:uid="{3355E782-189E-4BD3-B1C3-6885257895C3}"/>
    <hyperlink ref="K89" r:id="rId307" display="fdsup://factset/Doc Viewer Single?float_window=true&amp;positioning_strategy=center_on_screen&amp;_doc_docfn=U2FsdGVkX1+VHZ9dh6lY0wyWpabAA9b4dz4IdtC0dO0WMWQHyTWrUc5dryyON57iwewSzxZqibatsHub6e8iqBPHNw3nA5VJWf8upow6LH0=&amp;_app_id=central_doc_viewer&amp;center_on_screen=true&amp;width=950&amp;height=800&amp;_dd2=%26f%3Dsld%26c%3Dtrue%26os%3D66737%26oe%3D66744" xr:uid="{C3B51CE2-3BB6-4E88-9F40-D3F799ABC378}"/>
    <hyperlink ref="K90" r:id="rId308" display="fdsup://factset/Doc Viewer Single?float_window=true&amp;positioning_strategy=center_on_screen&amp;_doc_docfn=U2FsdGVkX19Mf35PNYEvWwppi3v89KU2f/Pjk2npm7FM2hAxKchaf0yBN8bCrUU97S6dIwKz6X++VgEtuzqenBAADDPTxfMyqcs+H0neuPM=&amp;_app_id=central_doc_viewer&amp;center_on_screen=true&amp;width=950&amp;height=800&amp;_dd2=%26f%3Dsld%26c%3Dtrue%26os%3D67296%26oe%3D67302" xr:uid="{E2158ED5-D718-4C91-838C-B9A2EC3AAC92}"/>
    <hyperlink ref="K91" r:id="rId309" display="fdsup://factset/Doc Viewer Single?float_window=true&amp;positioning_strategy=center_on_screen&amp;_doc_docfn=U2FsdGVkX187lR8wlvFoRNVQtmWiNnqo96VGaZkFJPmnvjEhiBA72gtSTZZYYNSHtWz5cvOwKn//gZjj1IuPJcRUMMx5dfR/kxWL5OuoLyM=&amp;_app_id=central_doc_viewer&amp;center_on_screen=true&amp;width=950&amp;height=800&amp;_dd2=%26f%3Dsld%26c%3Dtrue%26os%3D67810%26oe%3D67815" xr:uid="{A09B6164-65CC-4732-9C0E-387E56121BA7}"/>
    <hyperlink ref="K92" r:id="rId310" display="fdsup://factset/Doc Viewer Single?float_window=true&amp;positioning_strategy=center_on_screen&amp;_doc_docfn=U2FsdGVkX19Wlfno6BbeleEtMownxkEbCyjsZdiD9ZgvzTt66HdGfMnwgBPwLreGCr00jeXNYx4he54cml4C0ztPdQ2bV249Ap01MWKL58w=&amp;_app_id=central_doc_viewer&amp;center_on_screen=true&amp;width=950&amp;height=800&amp;_dd2=%26f%3Dsld%26c%3Dtrue%26os%3D68294%26oe%3D68300" xr:uid="{1AFECCD9-136E-4A73-A8D9-3638CC0D0437}"/>
    <hyperlink ref="K93" r:id="rId311" display="fdsup://factset/Doc Viewer Single?float_window=true&amp;positioning_strategy=center_on_screen&amp;_doc_docfn=U2FsdGVkX1/uXryFMvulEKAdhGbr5DKdRjwFPGazDdyYeHVXSfo2PGq2ZB1j93fRg1MsSn1UQgct05fgopV2BfntI38ALC9l4mpYt3uGrYU=&amp;_app_id=central_doc_viewer&amp;center_on_screen=true&amp;width=950&amp;height=800&amp;_dd2=%26f%3Dsld%26c%3Dtrue%26os%3D68833%26oe%3D68839" xr:uid="{B2089796-DA55-48A7-A045-A87179EACC14}"/>
    <hyperlink ref="K94" r:id="rId312" display="fdsup://factset/Doc Viewer Single?float_window=true&amp;positioning_strategy=center_on_screen&amp;_doc_docfn=U2FsdGVkX18H10kI/Pg5QHiUavLBGP58aCzRuwz5uMPsMaAH0L1DntdgECFnzhw2nBT41TtCRKZhUya3KpZzMItzLtmU10wpK0HMQksrf4A=&amp;_app_id=central_doc_viewer&amp;center_on_screen=true&amp;width=950&amp;height=800&amp;_dd2=%26f%3Dsld%26c%3Dtrue%26os%3D72102%26oe%3D72109" xr:uid="{2AC9FA49-69DA-40CC-9819-DAB06A929AF2}"/>
    <hyperlink ref="K95" r:id="rId313" display="fdsup://factset/Doc Viewer Single?float_window=true&amp;positioning_strategy=center_on_screen&amp;_doc_docfn=U2FsdGVkX1/GSKWQDrpCXGsw2xYxJWRadJ36mG7uyawLcFXVzwTPoalgW1Sl60InRIhx6MlOVyx8Y1UqEnO18ryQ0hHX3yVh9Lc53Y6WC58=&amp;_app_id=central_doc_viewer&amp;center_on_screen=true&amp;width=950&amp;height=800&amp;_dd2=%26f%3Dsld%26c%3Dtrue%26os%3D70100%26oe%3D70107" xr:uid="{50535801-210D-4890-961E-D9CDE06D825A}"/>
    <hyperlink ref="K96" r:id="rId314" display="fdsup://factset/Doc Viewer Single?float_window=true&amp;positioning_strategy=center_on_screen&amp;_doc_docfn=U2FsdGVkX18/Nh98KWOcH9glf+5MOHxH2ntZTONaox4obJkf7Cgy7zf5ACFuNNtwgoBeE7FaclbH/CR6sJgUgpPSIAvuglCsDCj3o/pGT1Q=&amp;_app_id=central_doc_viewer&amp;center_on_screen=true&amp;width=950&amp;height=800&amp;_dd2=%26f%3Dsld%26c%3Dtrue%26os%3D70629%26oe%3D70635" xr:uid="{66BC4EE2-2575-4618-B44F-A86C57BFB486}"/>
    <hyperlink ref="K97" r:id="rId315" display="fdsup://factset/Doc Viewer Single?float_window=true&amp;positioning_strategy=center_on_screen&amp;_doc_docfn=U2FsdGVkX1/5BFPd124pUPpc0aXj1cJbzKSqwzFOIU6krn1EkppeUw1BguiJvD15DX0gzvDjeWQU7akfXpV0FSZhO6dEaZbJQHE5oqUSxLQ=&amp;_app_id=central_doc_viewer&amp;center_on_screen=true&amp;width=950&amp;height=800&amp;_dd2=%26f%3Dsld%26c%3Dtrue%26os%3D71128%26oe%3D71134" xr:uid="{5C2EE6A1-C549-4B41-95E1-B642FCD2BB82}"/>
    <hyperlink ref="K98" r:id="rId316" display="fdsup://factset/Doc Viewer Single?float_window=true&amp;positioning_strategy=center_on_screen&amp;_doc_docfn=U2FsdGVkX1/fcHpLcQBYyykQkd5BL3YjEDrPSki2U2yfSCX6TMoxspa4Dg33vmZCUbZyE9gPsFRl6ZjNCb+kPntkyU7porb6oqZ3naBUFHM=&amp;_app_id=central_doc_viewer&amp;center_on_screen=true&amp;width=950&amp;height=800&amp;_dd2=%26f%3Dsld%26c%3Dtrue%26os%3D71618%26oe%3D71624" xr:uid="{1B905F3B-7C13-45E9-91EC-24D9A26EC965}"/>
    <hyperlink ref="K99" r:id="rId317" display="fdsup://factset/Doc Viewer Single?float_window=true&amp;positioning_strategy=center_on_screen&amp;_doc_docfn=U2FsdGVkX19jUjNQ5svqaZ18Scxesa0x5NjkOgd1X+AAn6C/zAXkYJPxEDUpNaCbU6iFr+/dxv8fGXdD8HmLWDGaE0CzGfCvoTtbty5rb0E=&amp;_app_id=central_doc_viewer&amp;center_on_screen=true&amp;width=950&amp;height=800&amp;_dd2=%26f%3Dsld%26c%3Dtrue%26os%3D75779%26oe%3D75786" xr:uid="{E199E893-78E0-4230-B2EA-4BD579446D32}"/>
    <hyperlink ref="K100" r:id="rId318" display="fdsup://factset/Doc Viewer Single?float_window=true&amp;positioning_strategy=center_on_screen&amp;_doc_docfn=U2FsdGVkX19lsh3g7q8vl+ugr+BCV75nZrTbKSTAsgWC825OgWlRSsFLXIzptQVC2NDUGTvbVqMqq15x7DVYd6xahlGOgdOBuXBa3+x6JbY=&amp;_app_id=central_doc_viewer&amp;center_on_screen=true&amp;width=950&amp;height=800&amp;_dd2=%26f%3Dsld%26c%3Dtrue%26os%3D73772%26oe%3D73773" xr:uid="{00C92D1E-2FF0-4C82-80BB-5EE39CAA5974}"/>
    <hyperlink ref="K102" r:id="rId319" display="fdsup://factset/Doc Viewer Single?float_window=true&amp;positioning_strategy=center_on_screen&amp;_doc_docfn=U2FsdGVkX19X6v379KvVXmG+QlUsMxj5K9KOnL0iMKuKdQPkNHYOEPcAdoMLFJrcl4RxdCoCA+dKnKe4iq0gj8TPYtdYLhgjUVNkz7HkSpU=&amp;_app_id=central_doc_viewer&amp;center_on_screen=true&amp;width=950&amp;height=800&amp;_dd2=%26f%3Dsld%26c%3Dtrue%26os%3D77256%26oe%3D77258" xr:uid="{82309089-CC90-49CF-8BB7-2B1EA1EBB5D0}"/>
    <hyperlink ref="K103" r:id="rId320" display="fdsup://factset/Doc Viewer Single?float_window=true&amp;positioning_strategy=center_on_screen&amp;_doc_docfn=U2FsdGVkX1/+KpYK/blMo7WXAhnFnEjPtIy60ovx/QAcnavi1j6rV+6NkxZf0E0CJ2/NIl0W1rzg+ZjPoJsFtl6DLaekQMEWl/vH0nyJAjk=&amp;_app_id=central_doc_viewer&amp;center_on_screen=true&amp;width=950&amp;height=800&amp;_dd2=%26f%3Dsld%26c%3Dtrue%26os%3D78653%26oe%3D78655" xr:uid="{FCC833CF-9B7F-4595-9EA1-3A71E0A7E9DF}"/>
    <hyperlink ref="K104" r:id="rId321" display="fdsup://factset/Doc Viewer Single?float_window=true&amp;positioning_strategy=center_on_screen&amp;_doc_docfn=U2FsdGVkX187S3Fqqr/9UsAGVk53mL2ttofF121wGEAb5JasgJ8+8ogPdtgZtcZTO2bfre/aH+qCC4UTTKDQ6ve7OMCjzqY140KoMzRayCI=&amp;_app_id=central_doc_viewer&amp;center_on_screen=true&amp;width=950&amp;height=800&amp;_dd2=%26f%3Dsld%26c%3Dtrue%26os%3D74253%26oe%3D74260" xr:uid="{B5FA813B-3B94-4651-B80B-AC0AF52EADA9}"/>
    <hyperlink ref="K105" r:id="rId322" display="fdsup://factset/Doc Viewer Single?float_window=true&amp;positioning_strategy=center_on_screen&amp;_doc_docfn=U2FsdGVkX185o/1ca8BKacy9n0Kdy9iKxINPoODeJ2Q6zMLAn32CVehYuNEU54Am9Fk/PJA8cIOKoJNAA+VV1n8tLZuIJOSUibVP+jWz14k=&amp;_app_id=central_doc_viewer&amp;center_on_screen=true&amp;width=950&amp;height=800&amp;_dd2=%26f%3Dsld%26c%3Dtrue%26os%3D77707%26oe%3D77711" xr:uid="{99191514-B49A-4475-9778-3C75DE3FDB72}"/>
    <hyperlink ref="K106" r:id="rId323" display="fdsup://factset/Doc Viewer Single?float_window=true&amp;positioning_strategy=center_on_screen&amp;_doc_docfn=U2FsdGVkX1+RpGP4PDY1uL9R/oaqPLwh9D0BDJklW4T5prOWQXPzCp2mw6fSRNUt6A86dR3I9rIg6qjP5qtF8/0e4PjMBRpOkS36PvvbvtQ=&amp;_app_id=central_doc_viewer&amp;center_on_screen=true&amp;width=950&amp;height=800&amp;_dd2=%26f%3Dsld%26c%3Dtrue%26os%3D79116%26oe%3D79124" xr:uid="{E77D6811-0D8F-42C9-B752-1272007C19FA}"/>
    <hyperlink ref="K107" r:id="rId324" display="fdsup://factset/Doc Viewer Single?float_window=true&amp;positioning_strategy=center_on_screen&amp;_doc_docfn=U2FsdGVkX1/edkGTFT2emxZkHjsOR+Cn5w03/r/zzuL9F7zX8Zei/6p8PYPWGvKRPVuRys7p4s3/xVryeGqU5I3KjQlCIHwXb1f0WxgBA+w=&amp;_app_id=central_doc_viewer&amp;center_on_screen=true&amp;width=950&amp;height=800&amp;_dd2=%26f%3Dsld%26c%3Dtrue%26os%3D74802%26oe%3D74808" xr:uid="{5E895311-F52F-4C77-BE3F-C51E62DA04AF}"/>
    <hyperlink ref="K108" r:id="rId325" display="fdsup://factset/Doc Viewer Single?float_window=true&amp;positioning_strategy=center_on_screen&amp;_doc_docfn=U2FsdGVkX1/S1tXa2PRQaoRBUf0kudAj10Yyj8FdXUerW0+4A8wBn7rDcimXi7Y9bDLT3zgiZQD8qoFcAUgJAefTejLb/7+geOUwdosvifM=&amp;_app_id=central_doc_viewer&amp;center_on_screen=true&amp;width=950&amp;height=800&amp;_dd2=%26f%3Dsld%26c%3Dtrue%26os%3D75301%26oe%3D75308" xr:uid="{F1124661-2E5B-4FB9-9256-E2A99F61042D}"/>
    <hyperlink ref="P70" r:id="rId326" display="fdsup://factset/Doc Viewer Single?float_window=true&amp;positioning_strategy=center_on_screen&amp;_doc_docfn=U2FsdGVkX19/NMpX38PW+5zi3lyuiwbneborxSayLVad3bcISVpxqAoj3CUWrlrvpUqqOg6t/r4bRmZDwunt8HmwlXHRWev+qx1566C9lhk=&amp;_app_id=central_doc_viewer&amp;center_on_screen=true&amp;width=950&amp;height=800&amp;_dd2=%26f%3Dsld%26c%3Dtrue%26os%3D66013%26oe%3D66022" xr:uid="{E65ADDB0-C891-4BDE-A123-8E1A879D74B1}"/>
    <hyperlink ref="P71" r:id="rId327" display="fdsup://factset/Doc Viewer Single?float_window=true&amp;positioning_strategy=center_on_screen&amp;_doc_docfn=U2FsdGVkX1+fI1DOdLmdpGvOkGEbPs0OaZ8WtuWQNCofz9A4HQwKP234iPs2RFHVMf7y9v2mWCcl72i/SGewV01W0yMBVscz0jfHI1D4Qsw=&amp;_app_id=central_doc_viewer&amp;center_on_screen=true&amp;width=950&amp;height=800&amp;_dd2=%26f%3Dsld%26c%3Dtrue%26os%3D62186%26oe%3D62193" xr:uid="{AA9D1D08-8AB3-4243-BA20-70A0B7050FAE}"/>
    <hyperlink ref="P72" r:id="rId328" display="fdsup://factset/Doc Viewer Single?float_window=true&amp;positioning_strategy=center_on_screen&amp;_doc_docfn=U2FsdGVkX195iKVDyNv7IXt93rDyessZWB+vq6ghGnOCaslrpeZR6/HlUx1lrT/+pvTDuoQQw25HPqfmJWPZfRrU/1BUUKxcgeKGK8NJ+vo=&amp;_app_id=central_doc_viewer&amp;center_on_screen=true&amp;width=950&amp;height=800&amp;_dd2=%26f%3Dsld%26c%3Dtrue%26os%3D59204%26oe%3D59212" xr:uid="{7A49158C-8768-401E-A232-68EB15AD97B7}"/>
    <hyperlink ref="P73" r:id="rId329" display="fdsup://factset/Doc Viewer Single?float_window=true&amp;positioning_strategy=center_on_screen&amp;_doc_docfn=U2FsdGVkX195X20Q/naNQghTE60McIwOy4hjkWl7wFMXbivfS2js3pznJJ4FFLAbSQ+FUXoth4ijMzc0EvFYcFw69TomWpCxA6rkpxi/mf4=&amp;_app_id=central_doc_viewer&amp;center_on_screen=true&amp;width=950&amp;height=800&amp;_dd2=%26f%3Dsld%26c%3Dtrue%26os%3D59668%26oe%3D59671" xr:uid="{E0DD0D75-2B08-4988-B119-E96BFCF19314}"/>
    <hyperlink ref="P74" r:id="rId330" display="fdsup://factset/Doc Viewer Single?float_window=true&amp;positioning_strategy=center_on_screen&amp;_doc_docfn=U2FsdGVkX18U8E5qSGYGru51ikyMhuieFc4IMN7PM+aQNjFASTs8tfts0Dvbq76YgQ2MQft32Xmvvnb34im6XfR/8Fr0Jw7gqLr2QaI2+i0=&amp;_app_id=central_doc_viewer&amp;center_on_screen=true&amp;width=950&amp;height=800&amp;_dd2=%26f%3Dsld%26c%3Dtrue%26os%3D60200%26oe%3D60207" xr:uid="{595E244D-68B5-430D-9AD1-7278875642F1}"/>
    <hyperlink ref="P75" r:id="rId331" display="fdsup://factset/Doc Viewer Single?float_window=true&amp;positioning_strategy=center_on_screen&amp;_doc_docfn=U2FsdGVkX1/IvgYlxp8plffjIl0Q0ii1G9P8YIQ/G0RCCmCM9vZwF6jNr2bxyD2zbrXoel3pqkQOZxnkOAU5Fdh1JiKOVPCv+XtjFMx9/n0=&amp;_app_id=central_doc_viewer&amp;center_on_screen=true&amp;width=950&amp;height=800&amp;_dd2=%26f%3Dsld%26c%3Dtrue%26os%3D60757%26oe%3D60763" xr:uid="{19CA9E69-935C-4DDA-B741-DC5D483E1AC1}"/>
    <hyperlink ref="P76" r:id="rId332" display="fdsup://factset/Doc Viewer Single?float_window=true&amp;positioning_strategy=center_on_screen&amp;_doc_docfn=U2FsdGVkX18Wk0YsrO3xfUBvcUZYqK4qj9MTOB1I65cEQlKWgUCaG9hQiFtxK4jIXIL5OWruL89lUnZ59yEgPs2cxI/mLbFGBS2w02+3rMU=&amp;_app_id=central_doc_viewer&amp;center_on_screen=true&amp;width=950&amp;height=800&amp;_dd2=%26f%3Dsld%26c%3Dtrue%26os%3D61205%26oe%3D61211" xr:uid="{C49D71D0-B612-41D3-A2F1-726F6170BD1A}"/>
    <hyperlink ref="P77" r:id="rId333" display="fdsup://factset/Doc Viewer Single?float_window=true&amp;positioning_strategy=center_on_screen&amp;_doc_docfn=U2FsdGVkX1/q3PfPgT/uyQQVxBYewP3e+VtteXmDlxhVJquGK1B7MjL6/X2Zy+X4rG4aJNqZuY88W+pX2pAKyiSWFwFYCxeu0xmz0eoLHWE=&amp;_app_id=central_doc_viewer&amp;center_on_screen=true&amp;width=950&amp;height=800&amp;_dd2=%26f%3Dsld%26c%3Dtrue%26os%3D61726%26oe%3D61731" xr:uid="{E76261B3-502A-4B73-A7C4-60E4A0CF3823}"/>
    <hyperlink ref="P78" r:id="rId334" display="fdsup://factset/Doc Viewer Single?float_window=true&amp;positioning_strategy=center_on_screen&amp;_doc_docfn=U2FsdGVkX18KMoiyOaZACo90aplyWnXWCsFoN9qwxHlbWioxlNgAB32i5U7FF3kwAfYMB9zq8ZUT3Jaw8Knw5HBFPZTCiM8wfn3R7zYZcd8=&amp;_app_id=central_doc_viewer&amp;center_on_screen=true&amp;width=950&amp;height=800&amp;_dd2=%26f%3Dsld%26c%3Dtrue%26os%3D62691%26oe%3D62698" xr:uid="{90C256FF-DD85-4C51-BD6B-CCBF1FFA3BF1}"/>
    <hyperlink ref="P79" r:id="rId335" display="fdsup://factset/Doc Viewer Single?float_window=true&amp;positioning_strategy=center_on_screen&amp;_doc_docfn=U2FsdGVkX19rqj9TNRW0KTCkJ7WrwQmY5QD30/rUSd6/BXtu4b7nz7ZP0uer12JYoDuKjcPCkDLKM4suNoSn1p9UFXXi3X5YRPHcJrLphBk=&amp;_app_id=central_doc_viewer&amp;center_on_screen=true&amp;width=950&amp;height=800&amp;_dd2=%26f%3Dsld%26c%3Dtrue%26os%3D63196%26oe%3D63202" xr:uid="{FA0F24C5-0B2E-493A-AC50-7722CEB3B7D4}"/>
    <hyperlink ref="P80" r:id="rId336" display="fdsup://factset/Doc Viewer Single?float_window=true&amp;positioning_strategy=center_on_screen&amp;_doc_docfn=U2FsdGVkX19jgL4qlWncxqfMsyZsIMpSZh15N/riNSJgWxE55/AJfl2ZfAJ+27ai1Dm88OSmYMssKippEQUk/oLg2W3cNbEJIytI40ThW5E=&amp;_app_id=central_doc_viewer&amp;center_on_screen=true&amp;width=950&amp;height=800&amp;_dd2=%26f%3Dsld%26c%3Dtrue%26os%3D63634%26oe%3D63641" xr:uid="{DA4B0A15-300F-446F-9B54-11BC2DCE676D}"/>
    <hyperlink ref="P81" r:id="rId337" display="fdsup://factset/Doc Viewer Single?float_window=true&amp;positioning_strategy=center_on_screen&amp;_doc_docfn=U2FsdGVkX1+z0Dth0H/iiI3rTg+XNl0+nfV0Sj+LdA7588HEANPBW0FNyCVrBQGHn9ZJySe8JRtr6RZBNVipxWSXCEQs5lH3k0ONeF2k2jk=&amp;_app_id=central_doc_viewer&amp;center_on_screen=true&amp;width=950&amp;height=800&amp;_dd2=%26f%3Dsld%26c%3Dtrue%26os%3D64140%26oe%3D64146" xr:uid="{D79D513D-145A-4C92-99D1-98CAAAD02A1E}"/>
    <hyperlink ref="P82" r:id="rId338" display="fdsup://factset/Doc Viewer Single?float_window=true&amp;positioning_strategy=center_on_screen&amp;_doc_docfn=U2FsdGVkX18nMr4MkLxmi8JyjQ+YUnxAcikgrNReM5w5mVjIMlvCFmiAAvbRghMI0Kvrdg1+9LIggrJV2TJF0eVoh76disKtOgvvCFZjZ4g=&amp;_app_id=central_doc_viewer&amp;center_on_screen=true&amp;width=950&amp;height=800&amp;_dd2=%26f%3Dsld%26c%3Dtrue%26os%3D64614%26oe%3D64616" xr:uid="{2E1621D0-D182-47F6-A98D-695995BD131B}"/>
    <hyperlink ref="P83" r:id="rId339" display="fdsup://factset/Doc Viewer Single?float_window=true&amp;positioning_strategy=center_on_screen&amp;_doc_docfn=U2FsdGVkX190w9/3TwWGNAEzIMQFzWNf7aNS7bX0EXODYDS4iwq57ppXePSddIbyDzwNkomR3WLJgvys07ylYwwpfWJcidEdo5NRWRutQoo=&amp;_app_id=central_doc_viewer&amp;center_on_screen=true&amp;width=950&amp;height=800&amp;_dd2=%26f%3Dsld%26c%3Dtrue%26os%3D65105%26oe%3D65111" xr:uid="{A1DF273C-C464-41F9-A2C3-86FE34FDA56B}"/>
    <hyperlink ref="P84" r:id="rId340" display="fdsup://factset/Doc Viewer Single?float_window=true&amp;positioning_strategy=center_on_screen&amp;_doc_docfn=U2FsdGVkX1+MIVvdpuHNWxWWKfb+x3yIeUNvb9jiVzlFCPmthx8+4kBNJaN35hVah/tdsCjE9YTjMeG5IXmR9lz8Hd58NqZMp2AaanjlK8w=&amp;_app_id=central_doc_viewer&amp;center_on_screen=true&amp;width=950&amp;height=800&amp;_dd2=%26f%3Dsld%26c%3Dtrue%26os%3D65570%26oe%3D65576" xr:uid="{37913A1B-438A-4FC4-ABA0-36354B29445A}"/>
    <hyperlink ref="P86" r:id="rId341" display="fdsup://factset/Doc Viewer Single?float_window=true&amp;positioning_strategy=center_on_screen&amp;_doc_docfn=U2FsdGVkX19ksS1aKdCSQPSjz4Swr0kf8vsu7BTkigXqpaSyTQ4iGIMomjLRfRCTrgjUx+aJGOVx9geGkclcCUr1OBnkOybrpm4tCKdoN3w=&amp;_app_id=central_doc_viewer&amp;center_on_screen=true&amp;width=950&amp;height=800&amp;_dd2=%26f%3Dsld%26c%3Dtrue%26os%3D76314%26oe%3D76323" xr:uid="{69EAC478-C30B-49DB-9B90-ACD11B312B87}"/>
    <hyperlink ref="P87" r:id="rId342" display="fdsup://factset/Doc Viewer Single?float_window=true&amp;positioning_strategy=center_on_screen&amp;_doc_docfn=U2FsdGVkX1/xcpZObEqCHzeyAJryxObhaZrL1+gFTuzlVpQSidlNO9O8AUXNZaaGxqEDpzb7q+x23A5wpGLZWm9sW2dVZnWuYgKS7fF1dic=&amp;_app_id=central_doc_viewer&amp;center_on_screen=true&amp;width=950&amp;height=800&amp;_dd2=%26f%3Dsld%26c%3Dtrue%26os%3D72568%26oe%3D72575" xr:uid="{8DD65C51-AEF1-4370-A8DA-96097A503697}"/>
    <hyperlink ref="P88" r:id="rId343" display="fdsup://factset/Doc Viewer Single?float_window=true&amp;positioning_strategy=center_on_screen&amp;_doc_docfn=U2FsdGVkX189CBGqzLchN8Kxm7GAl+TzgZubidDQwhTJ5+23V7mnSC19MBHMnkou/gD4R2qjjgJRSZfYofIAX8j2pmU0gO/NPllo81aPa00=&amp;_app_id=central_doc_viewer&amp;center_on_screen=true&amp;width=950&amp;height=800&amp;_dd2=%26f%3Dsld%26c%3Dtrue%26os%3D69320%26oe%3D69327" xr:uid="{60876248-BFFF-4092-BC47-5655C0FC7D28}"/>
    <hyperlink ref="P89" r:id="rId344" display="fdsup://factset/Doc Viewer Single?float_window=true&amp;positioning_strategy=center_on_screen&amp;_doc_docfn=U2FsdGVkX19q4cm3upKb8+ZOftPrtd++11vi6dCyIyAAkKwIwKOPdGa/m+ndFlRpZDQ0xlR719UYOisTwg01pdRzYPS5avWQ7cL+p3iZ07E=&amp;_app_id=central_doc_viewer&amp;center_on_screen=true&amp;width=950&amp;height=800&amp;_dd2=%26f%3Dsld%26c%3Dtrue%26os%3D66746%26oe%3D66753" xr:uid="{88A06990-B806-4CD9-9F1B-2D7679EA9D23}"/>
    <hyperlink ref="P90" r:id="rId345" display="fdsup://factset/Doc Viewer Single?float_window=true&amp;positioning_strategy=center_on_screen&amp;_doc_docfn=U2FsdGVkX1850kvd+Fx753KJwiYmO90MpTzYkicfJ887JpNPhmy8JJZQqDv3nChxMciomrNdgMSf2r5CN0nqi7NCxusD4yE2BFu7UkjhoOU=&amp;_app_id=central_doc_viewer&amp;center_on_screen=true&amp;width=950&amp;height=800&amp;_dd2=%26f%3Dsld%26c%3Dtrue%26os%3D67307%26oe%3D67313" xr:uid="{BE2C049D-3541-44C5-BE3D-978C6AD20A3B}"/>
    <hyperlink ref="P91" r:id="rId346" display="fdsup://factset/Doc Viewer Single?float_window=true&amp;positioning_strategy=center_on_screen&amp;_doc_docfn=U2FsdGVkX19V4tgm8OPFDTwG8JBw5F7NEYQYfODJZwzr1Dv2LYJrrb0yc2zg2PqGlYaqy5Lnwp6D2pGFrp5QCYTrTzHswEnbNYPndIXai1w=&amp;_app_id=central_doc_viewer&amp;center_on_screen=true&amp;width=950&amp;height=800&amp;_dd2=%26f%3Dsld%26c%3Dtrue%26os%3D67821%26oe%3D67826" xr:uid="{E6063F0F-5994-4C41-9363-1DA99F353166}"/>
    <hyperlink ref="P92" r:id="rId347" display="fdsup://factset/Doc Viewer Single?float_window=true&amp;positioning_strategy=center_on_screen&amp;_doc_docfn=U2FsdGVkX1/7otSehomX6qfj01JNCcffwlZLeWfrZ5nkxXxizCMHqy1LFzZLYt3iT4qr341ISmrucBnbzeJa3Db72QYn94r9UKTvOMoe5oc=&amp;_app_id=central_doc_viewer&amp;center_on_screen=true&amp;width=950&amp;height=800&amp;_dd2=%26f%3Dsld%26c%3Dtrue%26os%3D68305%26oe%3D68311" xr:uid="{01A1DE98-52E5-49D2-8CF0-6346BDBD1877}"/>
    <hyperlink ref="P93" r:id="rId348" display="fdsup://factset/Doc Viewer Single?float_window=true&amp;positioning_strategy=center_on_screen&amp;_doc_docfn=U2FsdGVkX1/3PTXZ+QL33Cc/l2Ps24figai/wdeLkzZ59Tpv7w5AO46ZtciOGSt0w50p1OAzWTPU6+C9up0nH4ah5yfE1YvyiulLAkE2+z4=&amp;_app_id=central_doc_viewer&amp;center_on_screen=true&amp;width=950&amp;height=800&amp;_dd2=%26f%3Dsld%26c%3Dtrue%26os%3D68844%26oe%3D68850" xr:uid="{AF16B5B5-A8E2-4D7D-B312-720225467CF7}"/>
    <hyperlink ref="P94" r:id="rId349" display="fdsup://factset/Doc Viewer Single?float_window=true&amp;positioning_strategy=center_on_screen&amp;_doc_docfn=U2FsdGVkX19CHC28aM0hm0DSZsRFHQq1XDDr8XVsteDycJidQgDbqtSiwIeE0aw6ICq6xTf1IuhimHYKohK38H71Ekm1+EN51uJHqCwj7II=&amp;_app_id=central_doc_viewer&amp;center_on_screen=true&amp;width=950&amp;height=800&amp;_dd2=%26f%3Dsld%26c%3Dtrue%26os%3D72113%26oe%3D72120" xr:uid="{B7C6921E-325F-4B45-8C4C-F4C45947BA06}"/>
    <hyperlink ref="P95" r:id="rId350" display="fdsup://factset/Doc Viewer Single?float_window=true&amp;positioning_strategy=center_on_screen&amp;_doc_docfn=U2FsdGVkX1/XlBkGQOugyG7Nq72dOTLE9kBj7kGHARSrqCmKTmQDwus4WJh9T9j0om8oWGVWYN/Np7x6miUceEE2TJHPUauxro5zUprgTfY=&amp;_app_id=central_doc_viewer&amp;center_on_screen=true&amp;width=950&amp;height=800&amp;_dd2=%26f%3Dsld%26c%3Dtrue%26os%3D70111%26oe%3D70118" xr:uid="{8B229282-D76F-4D5A-8C3E-9DBC25A99681}"/>
    <hyperlink ref="P96" r:id="rId351" display="fdsup://factset/Doc Viewer Single?float_window=true&amp;positioning_strategy=center_on_screen&amp;_doc_docfn=U2FsdGVkX18VnhIB6SbkYctQu5yHSl54437azJcaOG58M2fjszx/NxgfdIpAlErHBQ8NqZTD2LTsVwA/qPyNLrekH9nCR5fvnYyHiaVpHks=&amp;_app_id=central_doc_viewer&amp;center_on_screen=true&amp;width=950&amp;height=800&amp;_dd2=%26f%3Dsld%26c%3Dtrue%26os%3D70640%26oe%3D70646" xr:uid="{D3E1D028-942E-43C6-BD12-10D7DB5E370D}"/>
    <hyperlink ref="P97" r:id="rId352" display="fdsup://factset/Doc Viewer Single?float_window=true&amp;positioning_strategy=center_on_screen&amp;_doc_docfn=U2FsdGVkX199WpH6sNMQodn90lbnkdXl4XJ0E5u5lX/sYQmS2xG+bA52JsgPekZ294FUPBKX4u8C4h5iV1RpqCSZPXX8jmNECVd0uf1xKGs=&amp;_app_id=central_doc_viewer&amp;center_on_screen=true&amp;width=950&amp;height=800&amp;_dd2=%26f%3Dsld%26c%3Dtrue%26os%3D71139%26oe%3D71145" xr:uid="{110B169C-A1A7-49A9-8EB5-A438F2676AE0}"/>
    <hyperlink ref="P98" r:id="rId353" display="fdsup://factset/Doc Viewer Single?float_window=true&amp;positioning_strategy=center_on_screen&amp;_doc_docfn=U2FsdGVkX1/ygHpW7qxraiPFT9vZUjH7ZtqhUx8OwUyIQ2Xs7UjfB/jD1JSJlZ3Vq9UGBTAEMKi3DLLUq18ncbcAb9SdqFHsnp1MhmFKWOU=&amp;_app_id=central_doc_viewer&amp;center_on_screen=true&amp;width=950&amp;height=800&amp;_dd2=%26f%3Dsld%26c%3Dtrue%26os%3D71629%26oe%3D71635" xr:uid="{C77E5896-238F-4B88-8B17-C1BD57E861DE}"/>
    <hyperlink ref="P99" r:id="rId354" display="fdsup://factset/Doc Viewer Single?float_window=true&amp;positioning_strategy=center_on_screen&amp;_doc_docfn=U2FsdGVkX18ZJVv+iQ7hspu2/s7ioyH62L8eCJWgcNT3daSEBVqcAm8asuEmk6bWz3WgY7+k2hxXZ3zoV+lw91+JrqirFajoSAtbOrwUUgU=&amp;_app_id=central_doc_viewer&amp;center_on_screen=true&amp;width=950&amp;height=800&amp;_dd2=%26f%3Dsld%26c%3Dtrue%26os%3D75788%26oe%3D75795" xr:uid="{5D4781DE-9616-48A2-A11A-5949DCC10BB4}"/>
    <hyperlink ref="P100" r:id="rId355" display="fdsup://factset/Doc Viewer Single?float_window=true&amp;positioning_strategy=center_on_screen&amp;_doc_docfn=U2FsdGVkX19yC7qGdWUEEuCiYFsojVFUZgFLPLznVrsUK7f+V9gEUHWcmFQmtpDUCfb+xtSkFecmAGz+MDHiuKrFk2+PbniQ3Tncrpq3XEQ=&amp;_app_id=central_doc_viewer&amp;center_on_screen=true&amp;width=950&amp;height=800&amp;_dd2=%26f%3Dsld%26c%3Dtrue%26os%3D73783%26oe%3D73784" xr:uid="{16F7076A-0614-4D1E-876D-FBC66A1AD01F}"/>
    <hyperlink ref="P102" r:id="rId356" display="fdsup://factset/Doc Viewer Single?float_window=true&amp;positioning_strategy=center_on_screen&amp;_doc_docfn=U2FsdGVkX1+klDzq4enpE98U4/fLf87CmFUcINQUrwK3y4/6NIaZ0Bj81bvBR35WvhOiDp1Fmj/s7vXUeGkbbvEmKszoYYutKFloKXplrhc=&amp;_app_id=central_doc_viewer&amp;center_on_screen=true&amp;width=950&amp;height=800&amp;_dd2=%26f%3Dsld%26c%3Dtrue%26os%3D77265%26oe%3D77267" xr:uid="{D8319986-BC26-4C45-B169-326784077ECE}"/>
    <hyperlink ref="P103" r:id="rId357" display="fdsup://factset/Doc Viewer Single?float_window=true&amp;positioning_strategy=center_on_screen&amp;_doc_docfn=U2FsdGVkX1/fdLrWT8/KBkI5UyenQ/olbz/UVdUUnbg5l2bUE/keJYl6nPXmIfsB3wVvThb7VAehgPxqqe2zv/8vmvcBbqQ3TEdnzls466U=&amp;_app_id=central_doc_viewer&amp;center_on_screen=true&amp;width=950&amp;height=800&amp;_dd2=%26f%3Dsld%26c%3Dtrue%26os%3D78669%26oe%3D78671" xr:uid="{F3069E47-6DB6-48FB-B3BD-9EFF609D2CB0}"/>
    <hyperlink ref="P104" r:id="rId358" display="fdsup://factset/Doc Viewer Single?float_window=true&amp;positioning_strategy=center_on_screen&amp;_doc_docfn=U2FsdGVkX1+MsZrbI2OdxH0L++FufHS0EIHQUlAQCmmV7Bi5qYPPvKUqfUzQMm8dyIXGZi5sqvEVEEjYb0Gf4LqBQdOl0y7/5rL12APUmHQ=&amp;_app_id=central_doc_viewer&amp;center_on_screen=true&amp;width=950&amp;height=800&amp;_dd2=%26f%3Dsld%26c%3Dtrue%26os%3D74264%26oe%3D74271" xr:uid="{C5D7D031-E0DE-4D27-8C8C-BF37BCE73E37}"/>
    <hyperlink ref="P105" r:id="rId359" display="fdsup://factset/Doc Viewer Single?float_window=true&amp;positioning_strategy=center_on_screen&amp;_doc_docfn=U2FsdGVkX1/LZsQ3SamPvRaYjZUD39Utsj22mJVeMwvcbB7spkpVBz6GF9S4CMpdGB9PIURuYL2JP8xTg2yIn3W75NlOYhw8D0N2EXBXmaY=&amp;_app_id=central_doc_viewer&amp;center_on_screen=true&amp;width=950&amp;height=800&amp;_dd2=%26f%3Dsld%26c%3Dtrue%26os%3D77722%26oe%3D77727" xr:uid="{BD7CB9B4-5194-4769-9CAA-EFBA854A01FA}"/>
    <hyperlink ref="P106" r:id="rId360" display="fdsup://factset/Doc Viewer Single?float_window=true&amp;positioning_strategy=center_on_screen&amp;_doc_docfn=U2FsdGVkX18J07XiIK4zS6dIIjDkQ/wEcOQqdJP5l22z20QHorzlXXWUzETIXAOp0Zs98P2yJkmrlqwSTz3clepcjHnbE9zWhzKuw2lN6gE=&amp;_app_id=central_doc_viewer&amp;center_on_screen=true&amp;width=950&amp;height=800&amp;_dd2=%26f%3Dsld%26c%3Dtrue%26os%3D79132%26oe%3D79142" xr:uid="{434009DE-4551-4F9C-A76D-88B91E143802}"/>
    <hyperlink ref="P107" r:id="rId361" display="fdsup://factset/Doc Viewer Single?float_window=true&amp;positioning_strategy=center_on_screen&amp;_doc_docfn=U2FsdGVkX19hE29ZbmT7sogwutckDJk6g50G7kzmCqQtDz0zAS4t1fknuC5m8o5zlxSIzckfKNFC4UXTqfCdQUFoOnE9SIgdac1L9NFPMvU=&amp;_app_id=central_doc_viewer&amp;center_on_screen=true&amp;width=950&amp;height=800&amp;_dd2=%26f%3Dsld%26c%3Dtrue%26os%3D74811%26oe%3D74817" xr:uid="{DCD02D30-79ED-4C96-BED0-3BC0611E5B23}"/>
    <hyperlink ref="P108" r:id="rId362" display="fdsup://factset/Doc Viewer Single?float_window=true&amp;positioning_strategy=center_on_screen&amp;_doc_docfn=U2FsdGVkX1/vWdaWCa2b9H6V7h5YJAfr/Msvg6bBo9acDP974/53ydRbiLzCHvgU40ZCgdusBMMs0VvcDl5DN0kBBUmZBa4XbdQjNO6TIEI=&amp;_app_id=central_doc_viewer&amp;center_on_screen=true&amp;width=950&amp;height=800&amp;_dd2=%26f%3Dsld%26c%3Dtrue%26os%3D75310%26oe%3D75317" xr:uid="{0AA8F02C-9C44-485E-B82D-0E102C212602}"/>
    <hyperlink ref="U70" r:id="rId363" display="fdsup://factset/Doc Viewer Single?float_window=true&amp;positioning_strategy=center_on_screen&amp;_doc_docfn=U2FsdGVkX1/HwuTXP2B+erOfjESJMz8AWn2n3xIrcfqNEEX+3bZ/0bgqNIugCmdrSMPFnKWrtNgX3OfNSEnPBzRb5F6bZxgSzH2iAz+aepQ=&amp;_app_id=central_doc_viewer&amp;center_on_screen=true&amp;width=950&amp;height=800&amp;_dd2=%26f%3Dsld%26c%3Dtrue%26os%3D65839%26oe%3D65848" xr:uid="{C6E0302F-1D2F-46D9-91C2-04A3B7F7129E}"/>
    <hyperlink ref="U71" r:id="rId364" display="fdsup://factset/Doc Viewer Single?float_window=true&amp;positioning_strategy=center_on_screen&amp;_doc_docfn=U2FsdGVkX1+kcXMUBog2Bfr3cp8cs97o7poZjnKkfPWGfUmYJT9kaGDA7J3u+REfdV9W0cuxnpGliXHvTzQTqmaNdDpMuwoqLwORrHESxL4=&amp;_app_id=central_doc_viewer&amp;center_on_screen=true&amp;width=950&amp;height=800&amp;_dd2=%26f%3Dsld%26c%3Dtrue%26os%3D62008%26oe%3D62015" xr:uid="{C81D7FF1-D336-4BF5-8701-F2FB1B77628B}"/>
    <hyperlink ref="U72" r:id="rId365" display="fdsup://factset/Doc Viewer Single?float_window=true&amp;positioning_strategy=center_on_screen&amp;_doc_docfn=U2FsdGVkX1976OP1gb6DWGW2MARZEP7eXtrQ8Tirldkn2fhEKxg5fASAMWGsokfqhYIn+bhZ5IvyVphEBTd+4jv1z3zKJg+N4jscTc4BYr0=&amp;_app_id=central_doc_viewer&amp;center_on_screen=true&amp;width=950&amp;height=800&amp;_dd2=%26f%3Dsld%26c%3Dtrue%26os%3D59002%26oe%3D59010" xr:uid="{1E4DB7D6-E136-4E1F-99D5-D15CBF24A8B4}"/>
    <hyperlink ref="U73" r:id="rId366" display="fdsup://factset/Doc Viewer Single?float_window=true&amp;positioning_strategy=center_on_screen&amp;_doc_docfn=U2FsdGVkX1+3x0KA/sxXEOnpHRubMkDD+H2nCfb5IXvhNOHIT/4aNhHlYXXrwrrol1M3hT9YmXMpdqCZ4TufPMr3EMaUAooAtM2+KHAmx9k=&amp;_app_id=central_doc_viewer&amp;center_on_screen=true&amp;width=950&amp;height=800&amp;_dd2=%26f%3Dsld%26c%3Dtrue%26os%3D59487%26oe%3D59492" xr:uid="{B22C2BAF-6BBC-42A9-9DB3-8C0DC8B6ACCA}"/>
    <hyperlink ref="U74" r:id="rId367" display="fdsup://factset/Doc Viewer Single?float_window=true&amp;positioning_strategy=center_on_screen&amp;_doc_docfn=U2FsdGVkX1+yghXuyWUg5a6okTuzhfEieh258bHksMZCpC5IUUeWLjaeDUNE+6dNalpxv78fgrBdsxMvrVrf/eL7BTTjE65iQYXCPrc/V9k=&amp;_app_id=central_doc_viewer&amp;center_on_screen=true&amp;width=950&amp;height=800&amp;_dd2=%26f%3Dsld%26c%3Dtrue%26os%3D59997%26oe%3D60004" xr:uid="{7EED62B1-AD47-4DC0-8F82-9ECD4A888136}"/>
    <hyperlink ref="U75" r:id="rId368" display="fdsup://factset/Doc Viewer Single?float_window=true&amp;positioning_strategy=center_on_screen&amp;_doc_docfn=U2FsdGVkX1+8FBpBSzXHJVkdWT+dXkV26kX3z89XnZiiyiiYzMVr66BZiBDewdox7YHpzztAUd3KqM/ScowAQ/UjToBg+OBqfzoPs+hDnhk=&amp;_app_id=central_doc_viewer&amp;center_on_screen=true&amp;width=950&amp;height=800&amp;_dd2=%26f%3Dsld%26c%3Dtrue%26os%3D60559%26oe%3D60565" xr:uid="{4BA3A23F-426E-485C-9727-79D475BBA2B9}"/>
    <hyperlink ref="U76" r:id="rId369" display="fdsup://factset/Doc Viewer Single?float_window=true&amp;positioning_strategy=center_on_screen&amp;_doc_docfn=U2FsdGVkX1+kQtpH6THg0CjU1+3dOfxEka31Ao8JT5pUU7W4wLw/Ae6fIU2/+399L25Z+2QzhebqCMbtC8AicacO6W+24yc7tUS/NnXZ5Zg=&amp;_app_id=central_doc_viewer&amp;center_on_screen=true&amp;width=950&amp;height=800&amp;_dd2=%26f%3Dsld%26c%3Dtrue%26os%3D61029%26oe%3D61036" xr:uid="{6F7C7777-351D-4E77-83AB-BB12A7C87504}"/>
    <hyperlink ref="U77" r:id="rId370" display="fdsup://factset/Doc Viewer Single?float_window=true&amp;positioning_strategy=center_on_screen&amp;_doc_docfn=U2FsdGVkX1+RNykpRkMtphdSugdniKHiM67NzG1VcOroGxBUZCIUvkSHMbHSMtsnSAcSThDuzyuZjk02YqUZnpYcEf61cm1jRObCWbSSOn4=&amp;_app_id=central_doc_viewer&amp;center_on_screen=true&amp;width=950&amp;height=800&amp;_dd2=%26f%3Dsld%26c%3Dtrue%26os%3D61529%26oe%3D61535" xr:uid="{36C8F866-8887-40CB-A0C2-3A7FD177603D}"/>
    <hyperlink ref="U78" r:id="rId371" display="fdsup://factset/Doc Viewer Single?float_window=true&amp;positioning_strategy=center_on_screen&amp;_doc_docfn=U2FsdGVkX193Z5TlybNyDKa3DtjqC3Wja03XG7zsktBuEh4NYn4w3aC/2jg+uRH3V4eFJqSWQJaAx8rDTRG20l+3S8wwy3aAkv5wMkyXPEg=&amp;_app_id=central_doc_viewer&amp;center_on_screen=true&amp;width=950&amp;height=800&amp;_dd2=%26f%3Dsld%26c%3Dtrue%26os%3D62498%26oe%3D62505" xr:uid="{BF5B65F8-C15B-415E-8A72-439BE0625606}"/>
    <hyperlink ref="U79" r:id="rId372" display="fdsup://factset/Doc Viewer Single?float_window=true&amp;positioning_strategy=center_on_screen&amp;_doc_docfn=U2FsdGVkX19Ohl1Rd0I+JKQgZ2UlR98sCsemg2o5MvPllzJMXUTvSWVUtIUH8heSixRSh64LuazEwxDAIzbnqaRm2/9DNQBZNyo+HRkKZmM=&amp;_app_id=central_doc_viewer&amp;center_on_screen=true&amp;width=950&amp;height=800&amp;_dd2=%26f%3Dsld%26c%3Dtrue%26os%3D63004%26oe%3D63010" xr:uid="{490F59E2-6BC5-4372-A4E1-B861669BF38C}"/>
    <hyperlink ref="U80" r:id="rId373" display="fdsup://factset/Doc Viewer Single?float_window=true&amp;positioning_strategy=center_on_screen&amp;_doc_docfn=U2FsdGVkX1+aqBJnBPMY53yytO3ytHy645CgfyaiYjdXh68VqzXRhJNxn7Hb6wsWlmwizrb5PEbMmQW12XuCHZWBaOhowT3LgUU1XyxnChI=&amp;_app_id=central_doc_viewer&amp;center_on_screen=true&amp;width=950&amp;height=800&amp;_dd2=%26f%3Dsld%26c%3Dtrue%26os%3D63461%26oe%3D63468" xr:uid="{FD762A3C-DAE5-4E91-BD3E-2A834C561571}"/>
    <hyperlink ref="U81" r:id="rId374" display="fdsup://factset/Doc Viewer Single?float_window=true&amp;positioning_strategy=center_on_screen&amp;_doc_docfn=U2FsdGVkX184PuO6K42hXIagU1VbGWqvJwfHgSuN/a/OI/qVvZqYyA30VliO9iudQ62rBpLyuirh98gqPVWo0rtpzvkfuDJUm7cgQv0fAyg=&amp;_app_id=central_doc_viewer&amp;center_on_screen=true&amp;width=950&amp;height=800&amp;_dd2=%26f%3Dsld%26c%3Dtrue%26os%3D63941%26oe%3D63947" xr:uid="{22240A7E-6840-4D09-A276-FAD6CB6FFE1D}"/>
    <hyperlink ref="U82" r:id="rId375" display="fdsup://factset/Doc Viewer Single?float_window=true&amp;positioning_strategy=center_on_screen&amp;_doc_docfn=U2FsdGVkX1+F7kKu09J0J171/NcLLiMMjAQGJivvrv76HeLF+9JVgXMckaZ1f8owAB0S8iqNnUGmr1IDEdkVBEa7ZOD7RxaBaaA3vQXwgDs=&amp;_app_id=central_doc_viewer&amp;center_on_screen=true&amp;width=950&amp;height=800&amp;_dd2=%26f%3Dsld%26c%3Dtrue%26os%3D64435%26oe%3D64437" xr:uid="{200DA8D4-587F-4547-8323-612D975F3DDE}"/>
    <hyperlink ref="U83" r:id="rId376" display="fdsup://factset/Doc Viewer Single?float_window=true&amp;positioning_strategy=center_on_screen&amp;_doc_docfn=U2FsdGVkX185+mBdjiaizn0DhRgf4l7cL4Cl/WrVd/IerR/vVMKejonKGfhGGjFXbdTAae1mURsTpRK4DqoNDGG/wAcaFII/AiBLFOQDb50=&amp;_app_id=central_doc_viewer&amp;center_on_screen=true&amp;width=950&amp;height=800&amp;_dd2=%26f%3Dsld%26c%3Dtrue%26os%3D64911%26oe%3D64917" xr:uid="{A0B449BD-F267-4652-96AA-7C0FC105CC7D}"/>
    <hyperlink ref="U84" r:id="rId377" display="fdsup://factset/Doc Viewer Single?float_window=true&amp;positioning_strategy=center_on_screen&amp;_doc_docfn=U2FsdGVkX18KhPAPVTvWqqqXad9risOLpfWvNRzWv/SipmfVYp0SWszaIa2KtfSWTxBmm51VfBphtqm9v6CG4uYXpOWoH7GpsGCjZbP2C8U=&amp;_app_id=central_doc_viewer&amp;center_on_screen=true&amp;width=950&amp;height=800&amp;_dd2=%26f%3Dsld%26c%3Dtrue%26os%3D65386%26oe%3D65392" xr:uid="{BC20218A-4565-43BC-A935-C405CA2B38FF}"/>
    <hyperlink ref="U86" r:id="rId378" display="fdsup://factset/Doc Viewer Single?float_window=true&amp;positioning_strategy=center_on_screen&amp;_doc_docfn=U2FsdGVkX18QlWaHr4gUhVV8pntkqOa1VVMMKDD8vej+zzD+xHeOWZwf4SQ+SEX80mPnXqGkUrmfLGK+ejXkEq+tZBYvg0tVPtxDEHOUH6o=&amp;_app_id=central_doc_viewer&amp;center_on_screen=true&amp;width=950&amp;height=800&amp;_dd2=%26f%3Dsld%26c%3Dtrue%26os%3D76114%26oe%3D76123" xr:uid="{D3CBC5B2-AFFD-402C-B360-21023381D991}"/>
    <hyperlink ref="U87" r:id="rId379" display="fdsup://factset/Doc Viewer Single?float_window=true&amp;positioning_strategy=center_on_screen&amp;_doc_docfn=U2FsdGVkX188st+DY51Pb9koOT3LpVsGrPSTxymaTro8Dx9C7xI560jI99VISYj5C8bcsR2MggJzvL71UOO0mLzCjMVnVzl+B5f/jsalI7M=&amp;_app_id=central_doc_viewer&amp;center_on_screen=true&amp;width=950&amp;height=800&amp;_dd2=%26f%3Dsld%26c%3Dtrue%26os%3D72392%26oe%3D72399" xr:uid="{34176134-8106-46C5-9C00-76F5876B33B2}"/>
    <hyperlink ref="U88" r:id="rId380" display="fdsup://factset/Doc Viewer Single?float_window=true&amp;positioning_strategy=center_on_screen&amp;_doc_docfn=U2FsdGVkX1/EDmMUrJS80TF8pdr43pXRJ52d7xtSwHNFN8o9g3MjDeurxRc2ghOzOWCQ7lJo7TdBAFZk9IofhpJtRlIhZZQ8WeBJ4qrGE6s=&amp;_app_id=central_doc_viewer&amp;center_on_screen=true&amp;width=950&amp;height=800&amp;_dd2=%26f%3Dsld%26c%3Dtrue%26os%3D69137%26oe%3D69144" xr:uid="{CAFB840F-9333-496B-A620-267B51BCBCC4}"/>
    <hyperlink ref="U89" r:id="rId381" display="fdsup://factset/Doc Viewer Single?float_window=true&amp;positioning_strategy=center_on_screen&amp;_doc_docfn=U2FsdGVkX1/RQPTnznB/b/4dci14pFOiNLbchJCbBUeuWgF2b1IqAGonoMne5dmkXmXcobcGAaDBSa9lMlErt/A/NEbdJokJu1KqDP39DnU=&amp;_app_id=central_doc_viewer&amp;center_on_screen=true&amp;width=950&amp;height=800&amp;_dd2=%26f%3Dsld%26c%3Dtrue%26os%3D66559%26oe%3D66566" xr:uid="{12E36841-FAB5-4DA0-B161-6F1489F1385A}"/>
    <hyperlink ref="U90" r:id="rId382" display="fdsup://factset/Doc Viewer Single?float_window=true&amp;positioning_strategy=center_on_screen&amp;_doc_docfn=U2FsdGVkX18++2i7tC8jS5BodDAx5dg1bDAWjgeEGpZ3pFHSXnKyNhfKFR8+Yy7eaobX57iwi/TTytvP+kKB7nrWAsffbq0Bt4cezydNlhE=&amp;_app_id=central_doc_viewer&amp;center_on_screen=true&amp;width=950&amp;height=800&amp;_dd2=%26f%3Dsld%26c%3Dtrue%26os%3D67107%26oe%3D67114" xr:uid="{9CE47478-0FBE-443D-853F-E0CCD4B206D3}"/>
    <hyperlink ref="U91" r:id="rId383" display="fdsup://factset/Doc Viewer Single?float_window=true&amp;positioning_strategy=center_on_screen&amp;_doc_docfn=U2FsdGVkX1/TN1WzXaDRhSrhSbyYouW7dvN9jz2o3Jj5Nkri6db/ZYLIEUDaixDgtRDLDmKttP8xlmD3Ex5U4tHUey6kPIkC6w1tmT5s0WE=&amp;_app_id=central_doc_viewer&amp;center_on_screen=true&amp;width=950&amp;height=800&amp;_dd2=%26f%3Dsld%26c%3Dtrue%26os%3D67630%26oe%3D67635" xr:uid="{068FF09D-2C3D-401F-8E69-C1C58F980192}"/>
    <hyperlink ref="U92" r:id="rId384" display="fdsup://factset/Doc Viewer Single?float_window=true&amp;positioning_strategy=center_on_screen&amp;_doc_docfn=U2FsdGVkX18yD5Nl5toqtJ5ohEz5Inx9hXbr0ux71FuDwDc3cpWcPcMDbpKC2C05ZI8p06TQKLyvvqi5uqsYPvcT/fptdNfEmcIGyBTj8mM=&amp;_app_id=central_doc_viewer&amp;center_on_screen=true&amp;width=950&amp;height=800&amp;_dd2=%26f%3Dsld%26c%3Dtrue%26os%3D68123%26oe%3D68129" xr:uid="{7E98F150-6D43-4D55-ACCF-D2A6A1EE42FF}"/>
    <hyperlink ref="U93" r:id="rId385" display="fdsup://factset/Doc Viewer Single?float_window=true&amp;positioning_strategy=center_on_screen&amp;_doc_docfn=U2FsdGVkX1+SSa3FLat3ssH1GHJ3wnROHOTh1NiPceoEoalk0vKavw9cDXB4udMtvUIqEsZHPKzFcW0l/HDkZiFnhnDZIHu+xBnektd2jeU=&amp;_app_id=central_doc_viewer&amp;center_on_screen=true&amp;width=950&amp;height=800&amp;_dd2=%26f%3Dsld%26c%3Dtrue%26os%3D68643%26oe%3D68649" xr:uid="{ADF4F0B6-52D6-4E24-9EFA-1AE6FDB89161}"/>
    <hyperlink ref="U94" r:id="rId386" display="fdsup://factset/Doc Viewer Single?float_window=true&amp;positioning_strategy=center_on_screen&amp;_doc_docfn=U2FsdGVkX1868QUi63bUfJGh/r7LUrR7kY5hMb6841SxvajLJha1LwdLWqa7av6/odaalle4WEf83ZWuo0yo4qqIL7kcTpykSvAcqbVzI0A=&amp;_app_id=central_doc_viewer&amp;center_on_screen=true&amp;width=950&amp;height=800&amp;_dd2=%26f%3Dsld%26c%3Dtrue%26os%3D71927%26oe%3D71934" xr:uid="{22D769DF-59E0-4D2C-873F-DDBE9373C75A}"/>
    <hyperlink ref="U95" r:id="rId387" display="fdsup://factset/Doc Viewer Single?float_window=true&amp;positioning_strategy=center_on_screen&amp;_doc_docfn=U2FsdGVkX1+zztJktpdxTP47UMKgkQXLI5J/TJV93rLvq7qQN7Zdr9WAxrsMd9liNG5c1k1BjPUChSdFV0gEXtp+MWC1QK3FZNGixgJLumM=&amp;_app_id=central_doc_viewer&amp;center_on_screen=true&amp;width=950&amp;height=800&amp;_dd2=%26f%3Dsld%26c%3Dtrue%26os%3D69924%26oe%3D69931" xr:uid="{A4EC7B77-79EB-4EB9-A786-92D6870A7AEB}"/>
    <hyperlink ref="U96" r:id="rId388" display="fdsup://factset/Doc Viewer Single?float_window=true&amp;positioning_strategy=center_on_screen&amp;_doc_docfn=U2FsdGVkX1/5Y/EQVzvYC/f0b8S1Pej+XxSKWitIdcJH5+8Uv7ZMnextB5gGfzJmYE5fiIQOKnvlTJjjZWSyJ8Y8AaUae6MITjX2W/l4C4M=&amp;_app_id=central_doc_viewer&amp;center_on_screen=true&amp;width=950&amp;height=800&amp;_dd2=%26f%3Dsld%26c%3Dtrue%26os%3D70444%26oe%3D70450" xr:uid="{38E8F73D-2B46-4576-ABA8-227319578851}"/>
    <hyperlink ref="U97" r:id="rId389" display="fdsup://factset/Doc Viewer Single?float_window=true&amp;positioning_strategy=center_on_screen&amp;_doc_docfn=U2FsdGVkX19nupDluj48AhpakBe2TVmlcKK41sZYWU5ORyLbHpXAz/LzDrIKHA57UMSQYMBJOld3UD0YJIWgbHIsJLIR944TDqIHKgJxxKw=&amp;_app_id=central_doc_viewer&amp;center_on_screen=true&amp;width=950&amp;height=800&amp;_dd2=%26f%3Dsld%26c%3Dtrue%26os%3D70945%26oe%3D70951" xr:uid="{DC85C9F4-10C7-4CCA-978A-933A350DE1B5}"/>
    <hyperlink ref="U98" r:id="rId390" display="fdsup://factset/Doc Viewer Single?float_window=true&amp;positioning_strategy=center_on_screen&amp;_doc_docfn=U2FsdGVkX1/dI9hVQimCVnHJYi4OIgpMZ0IeAUsoh5VZnpECLtM+l0u3FUnX/4w30Ar2HwPRHg2g0mLiPH8E3OWU07djaAcFpkZ5IQqG5v8=&amp;_app_id=central_doc_viewer&amp;center_on_screen=true&amp;width=950&amp;height=800&amp;_dd2=%26f%3Dsld%26c%3Dtrue%26os%3D71440%26oe%3D71446" xr:uid="{69E36DD9-ADBF-4940-A4FC-8133751D0996}"/>
    <hyperlink ref="U99" r:id="rId391" display="fdsup://factset/Doc Viewer Single?float_window=true&amp;positioning_strategy=center_on_screen&amp;_doc_docfn=U2FsdGVkX18DGlrfy7HIOQV0VpepnJEJDCQRU97fed7n/BOmt5V0jLqU20Wz63J3eHlU1fy8yAEVs0CLp5DVZLArrxOyNJFmZhxmId6EGLA=&amp;_app_id=central_doc_viewer&amp;center_on_screen=true&amp;width=950&amp;height=800&amp;_dd2=%26f%3Dsld%26c%3Dtrue%26os%3D75605%26oe%3D75612" xr:uid="{6F667D8B-7DE7-4AD0-A0A0-0C08E3BB9DB7}"/>
    <hyperlink ref="U100" r:id="rId392" display="fdsup://factset/Doc Viewer Single?float_window=true&amp;positioning_strategy=center_on_screen&amp;_doc_docfn=U2FsdGVkX19HBWt7B0xSgZoHeRns4SZGoxkMsTni/HpMyKxRbB7JuKLNiu9v6w+q9mJzkAhh1lXnBN1B5vw1nqDm29EDluOofLGR75eXYNQ=&amp;_app_id=central_doc_viewer&amp;center_on_screen=true&amp;width=950&amp;height=800&amp;_dd2=%26f%3Dsld%26c%3Dtrue%26os%3D73613%26oe%3D73614" xr:uid="{0E19A6AB-3489-44F5-BA2A-E3AE83434618}"/>
    <hyperlink ref="U102" r:id="rId393" display="fdsup://factset/Doc Viewer Single?float_window=true&amp;positioning_strategy=center_on_screen&amp;_doc_docfn=U2FsdGVkX18fw5Xl6s8IB0LMYO7wg973bHsB+fgykPRi2GDo1E9IWfYW0FWOcmQENtg24J36yLeaUcjTa5Utv9uIG3fhnVZUIVWvD/3aLtA=&amp;_app_id=central_doc_viewer&amp;center_on_screen=true&amp;width=950&amp;height=800&amp;_dd2=%26f%3Dsld%26c%3Dtrue%26os%3D77093%26oe%3D77095" xr:uid="{F28E066B-9620-4DB8-B596-23C9ED8A41CD}"/>
    <hyperlink ref="U103" r:id="rId394" display="fdsup://factset/Doc Viewer Single?float_window=true&amp;positioning_strategy=center_on_screen&amp;_doc_docfn=U2FsdGVkX19FWTkTbkKyRunyeyYEWFM7LUiDsasInciWFNRQny348l/W6/JCuAJBz5YrilV7+CQ7Bv39tQ4Tn64FbK8tfUnE/l/NyOGlVjg=&amp;_app_id=central_doc_viewer&amp;center_on_screen=true&amp;width=950&amp;height=800&amp;_dd2=%26f%3Dsld%26c%3Dtrue%26os%3D78497%26oe%3D78499" xr:uid="{4FF8A23C-950B-4198-A13D-AA6830CB12C7}"/>
    <hyperlink ref="U104" r:id="rId395" display="fdsup://factset/Doc Viewer Single?float_window=true&amp;positioning_strategy=center_on_screen&amp;_doc_docfn=U2FsdGVkX18pLTZT6vzUXIqwNpEla4SUW6nX35m2CKNoAi/GIm5RYnQeysMq2HTo3tFIs25LcvvtokSvVMs+19X7AkWrfijmoy2YuUupV4M=&amp;_app_id=central_doc_viewer&amp;center_on_screen=true&amp;width=950&amp;height=800&amp;_dd2=%26f%3Dsld%26c%3Dtrue%26os%3D74076%26oe%3D74083" xr:uid="{04D3A28E-DA1A-4904-94CD-3ABB504CA867}"/>
    <hyperlink ref="U105" r:id="rId396" display="fdsup://factset/Doc Viewer Single?float_window=true&amp;positioning_strategy=center_on_screen&amp;_doc_docfn=U2FsdGVkX1++7BSqMenmZ52VBbvHjPzY/xGiJU/cmsb+H67+ITAGD3OJ5rrG7SGnOxCE/dNma/oHbsKTWu793z0YdILvoKANPJAzPgtucPU=&amp;_app_id=central_doc_viewer&amp;center_on_screen=true&amp;width=950&amp;height=800&amp;_dd2=%26f%3Dsld%26c%3Dtrue%26os%3D77541%26oe%3D77549" xr:uid="{9FE8C39B-7EC0-418A-8944-12BD789237DF}"/>
    <hyperlink ref="U106" r:id="rId397" display="fdsup://factset/Doc Viewer Single?float_window=true&amp;positioning_strategy=center_on_screen&amp;_doc_docfn=U2FsdGVkX1+tQPZkdxMjULbn+/b0R5j/+hUfFT2owj8kadvQaq/c8usWxbSUhPjo9Oeb/wJlejuGlHF/J6/QnBIYi994CE5rwIZf+B0HURw=&amp;_app_id=central_doc_viewer&amp;center_on_screen=true&amp;width=950&amp;height=800&amp;_dd2=%26f%3Dsld%26c%3Dtrue%26os%3D78947%26oe%3D78957" xr:uid="{95C631D4-827D-4CAF-882D-47AE48ECDB9A}"/>
    <hyperlink ref="U107" r:id="rId398" display="fdsup://factset/Doc Viewer Single?float_window=true&amp;positioning_strategy=center_on_screen&amp;_doc_docfn=U2FsdGVkX18C155YbDhZZZkCZedCT4V02fRdmNsR+gGTjQ6ov1mqUgFZjdriT3eH/7x7YHx8jb1+EyMOokXi54sKuOkrX5QUYGu4cWOTtj4=&amp;_app_id=central_doc_viewer&amp;center_on_screen=true&amp;width=950&amp;height=800&amp;_dd2=%26f%3Dsld%26c%3Dtrue%26os%3D74602%26oe%3D74607" xr:uid="{003F0E01-26BD-426A-9329-862B32A9B6FA}"/>
    <hyperlink ref="U108" r:id="rId399" display="fdsup://factset/Doc Viewer Single?float_window=true&amp;positioning_strategy=center_on_screen&amp;_doc_docfn=U2FsdGVkX1+gUUF/UxYy3NnVespYQamUJoKaaqGDwGA9VGbMrgDV7UTGnep26ywfeB26DAUy8t1fMyghdgeRTydZ4XdJj7OxnkvGT+dZuok=&amp;_app_id=central_doc_viewer&amp;center_on_screen=true&amp;width=950&amp;height=800&amp;_dd2=%26f%3Dsld%26c%3Dtrue%26os%3D75111%26oe%3D75118" xr:uid="{7E3B1706-3533-43A0-B14F-18C9478425A3}"/>
  </hyperlinks>
  <pageMargins left="0.75" right="0.75" top="1" bottom="1" header="0.5" footer="0.5"/>
  <ignoredErrors>
    <ignoredError sqref="U40 Z45 Z12 Z50 Z59 C220 Z6 Z15 W59 Z112" formula="1"/>
    <ignoredError sqref="Z32 Z39 Z207 Z66 Z217:Z218" formulaRange="1"/>
    <ignoredError sqref="Z44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D098B-035A-46A6-A1F7-B4964C79003B}">
  <dimension ref="A1:AB12"/>
  <sheetViews>
    <sheetView topLeftCell="F1" workbookViewId="0">
      <selection activeCell="Y3" sqref="Y3"/>
    </sheetView>
  </sheetViews>
  <sheetFormatPr defaultColWidth="10.59765625" defaultRowHeight="12.75"/>
  <cols>
    <col min="1" max="1" width="30.59765625" customWidth="1"/>
    <col min="6" max="9" width="10.59765625" style="31"/>
    <col min="11" max="14" width="10.59765625" style="31"/>
    <col min="16" max="16" width="10.59765625" style="31"/>
    <col min="17" max="18" width="10.59765625" style="31" customWidth="1"/>
    <col min="19" max="19" width="10.59765625" style="31"/>
    <col min="21" max="21" width="10.59765625" style="31" customWidth="1"/>
    <col min="22" max="24" width="10.59765625" style="46"/>
    <col min="25" max="28" width="10.59765625" style="47"/>
  </cols>
  <sheetData>
    <row r="1" spans="1:28" ht="13.15">
      <c r="B1" s="35" t="s">
        <v>6</v>
      </c>
      <c r="C1" s="35" t="s">
        <v>5</v>
      </c>
      <c r="D1" s="35" t="s">
        <v>4</v>
      </c>
      <c r="E1" s="35" t="s">
        <v>3</v>
      </c>
      <c r="F1" s="36" t="s">
        <v>41</v>
      </c>
      <c r="G1" s="36" t="s">
        <v>42</v>
      </c>
      <c r="H1" s="36" t="s">
        <v>43</v>
      </c>
      <c r="I1" s="36" t="s">
        <v>44</v>
      </c>
      <c r="J1" s="35" t="s">
        <v>2</v>
      </c>
      <c r="K1" s="36" t="s">
        <v>45</v>
      </c>
      <c r="L1" s="36" t="s">
        <v>46</v>
      </c>
      <c r="M1" s="36" t="s">
        <v>47</v>
      </c>
      <c r="N1" s="36" t="s">
        <v>48</v>
      </c>
      <c r="O1" s="35" t="s">
        <v>1</v>
      </c>
      <c r="P1" s="36" t="s">
        <v>49</v>
      </c>
      <c r="Q1" s="36" t="s">
        <v>50</v>
      </c>
      <c r="R1" s="36" t="s">
        <v>51</v>
      </c>
      <c r="S1" s="36" t="s">
        <v>52</v>
      </c>
      <c r="T1" s="35" t="s">
        <v>0</v>
      </c>
      <c r="U1" s="36" t="s">
        <v>53</v>
      </c>
      <c r="V1" s="43" t="s">
        <v>54</v>
      </c>
      <c r="W1" s="43" t="s">
        <v>55</v>
      </c>
      <c r="X1" s="43" t="s">
        <v>56</v>
      </c>
      <c r="Y1" s="99" t="s">
        <v>67</v>
      </c>
      <c r="Z1" s="99" t="s">
        <v>68</v>
      </c>
      <c r="AA1" s="99" t="s">
        <v>69</v>
      </c>
      <c r="AB1" s="99" t="s">
        <v>70</v>
      </c>
    </row>
    <row r="2" spans="1:28" ht="13.15">
      <c r="A2" s="3" t="s">
        <v>71</v>
      </c>
      <c r="B2">
        <v>594.4</v>
      </c>
      <c r="C2">
        <v>531.1</v>
      </c>
      <c r="D2">
        <v>608.1</v>
      </c>
      <c r="E2">
        <v>966</v>
      </c>
      <c r="F2" s="31">
        <v>1090</v>
      </c>
      <c r="G2" s="31">
        <v>1280</v>
      </c>
      <c r="H2" s="31">
        <v>1330</v>
      </c>
      <c r="I2" s="31">
        <v>1410</v>
      </c>
      <c r="J2">
        <v>1410</v>
      </c>
      <c r="K2" s="31">
        <v>1470</v>
      </c>
      <c r="L2" s="31">
        <v>1520</v>
      </c>
      <c r="M2" s="31">
        <v>1590</v>
      </c>
      <c r="N2" s="31">
        <v>1600</v>
      </c>
      <c r="O2">
        <v>1600</v>
      </c>
      <c r="P2" s="31">
        <v>1620</v>
      </c>
      <c r="Q2" s="31">
        <v>1790</v>
      </c>
      <c r="R2" s="31">
        <v>1860</v>
      </c>
      <c r="S2" s="31">
        <v>1960</v>
      </c>
      <c r="T2">
        <v>1960</v>
      </c>
      <c r="U2" s="31">
        <v>2660</v>
      </c>
      <c r="V2" s="46">
        <v>2740</v>
      </c>
      <c r="W2" s="46">
        <v>2820</v>
      </c>
      <c r="X2" s="46">
        <v>2840</v>
      </c>
      <c r="Y2" s="47">
        <f>X2</f>
        <v>2840</v>
      </c>
    </row>
    <row r="3" spans="1:28" ht="13.15">
      <c r="A3" s="3"/>
      <c r="F3" s="57">
        <f>F2/E2-1</f>
        <v>0.12836438923395455</v>
      </c>
      <c r="G3" s="57">
        <f>G2/F2-1</f>
        <v>0.17431192660550465</v>
      </c>
      <c r="H3" s="57">
        <f t="shared" ref="H3" si="0">H2/G2-1</f>
        <v>3.90625E-2</v>
      </c>
      <c r="I3" s="57">
        <f t="shared" ref="I3" si="1">I2/H2-1</f>
        <v>6.0150375939849621E-2</v>
      </c>
      <c r="K3" s="57">
        <f>K2/I2-1</f>
        <v>4.2553191489361764E-2</v>
      </c>
      <c r="L3" s="57">
        <f>L2/K2-1</f>
        <v>3.4013605442176909E-2</v>
      </c>
      <c r="M3" s="57">
        <f t="shared" ref="M3" si="2">M2/L2-1</f>
        <v>4.6052631578947345E-2</v>
      </c>
      <c r="N3" s="57">
        <f t="shared" ref="N3" si="3">N2/M2-1</f>
        <v>6.2893081761006275E-3</v>
      </c>
      <c r="P3" s="57">
        <f>P2/N2-1</f>
        <v>1.2499999999999956E-2</v>
      </c>
      <c r="Q3" s="57">
        <f>Q2/P2-1</f>
        <v>0.10493827160493829</v>
      </c>
      <c r="R3" s="57">
        <f t="shared" ref="R3:S3" si="4">R2/Q2-1</f>
        <v>3.9106145251396551E-2</v>
      </c>
      <c r="S3" s="57">
        <f t="shared" si="4"/>
        <v>5.3763440860215006E-2</v>
      </c>
    </row>
    <row r="5" spans="1:28">
      <c r="A5" t="s">
        <v>72</v>
      </c>
      <c r="B5" s="16">
        <v>680.096</v>
      </c>
      <c r="C5" s="16">
        <v>783.23800000000006</v>
      </c>
      <c r="D5" s="16">
        <v>785.67899999999997</v>
      </c>
      <c r="E5" s="16">
        <v>910.73900000000003</v>
      </c>
      <c r="F5" s="30">
        <v>284.964</v>
      </c>
      <c r="G5" s="30">
        <v>243.38499999999999</v>
      </c>
      <c r="H5" s="30">
        <v>380.27199999999999</v>
      </c>
      <c r="I5" s="30">
        <v>393.053</v>
      </c>
      <c r="J5" s="16">
        <v>1301.674</v>
      </c>
      <c r="K5" s="30">
        <v>341.779</v>
      </c>
      <c r="L5" s="30">
        <v>324.85000000000002</v>
      </c>
      <c r="M5" s="30">
        <v>421.89299999999997</v>
      </c>
      <c r="N5" s="30">
        <v>475.02600000000001</v>
      </c>
      <c r="O5" s="16">
        <v>1563.548</v>
      </c>
      <c r="P5" s="30">
        <v>396.505</v>
      </c>
      <c r="Q5" s="30">
        <v>371.42700000000002</v>
      </c>
      <c r="R5" s="30">
        <v>517.79399999999998</v>
      </c>
      <c r="S5" s="30">
        <v>538.16300000000001</v>
      </c>
      <c r="T5" s="16">
        <v>1823.8889999999999</v>
      </c>
      <c r="U5" s="30">
        <v>561.58000000000004</v>
      </c>
      <c r="V5" s="50">
        <v>553.28078817734001</v>
      </c>
      <c r="W5" s="50">
        <v>802.25714285714287</v>
      </c>
      <c r="X5" s="50">
        <v>849.28600985221669</v>
      </c>
      <c r="Y5" s="51">
        <v>2766.4039408866997</v>
      </c>
    </row>
    <row r="6" spans="1:28" ht="13.15">
      <c r="A6" s="3" t="s">
        <v>73</v>
      </c>
      <c r="B6" s="16">
        <f>C5</f>
        <v>783.23800000000006</v>
      </c>
      <c r="C6" s="16">
        <f>D5</f>
        <v>785.67899999999997</v>
      </c>
      <c r="D6" s="16">
        <f>E5</f>
        <v>910.73900000000003</v>
      </c>
      <c r="E6" s="16">
        <f>J5</f>
        <v>1301.674</v>
      </c>
      <c r="F6" s="30">
        <f>SUM(G5:I5,K5)</f>
        <v>1358.489</v>
      </c>
      <c r="G6" s="30">
        <f>SUM(H5:I5,K5:L5)</f>
        <v>1439.9540000000002</v>
      </c>
      <c r="H6" s="61">
        <f>I5+SUM(K5:M5)</f>
        <v>1481.5749999999998</v>
      </c>
      <c r="I6" s="30">
        <f>J6</f>
        <v>1563.548</v>
      </c>
      <c r="J6" s="16">
        <f>O5</f>
        <v>1563.548</v>
      </c>
      <c r="K6" s="30">
        <f>SUM(L5:N5,P5)</f>
        <v>1618.2739999999999</v>
      </c>
      <c r="L6" s="61">
        <f>M5+N5+P5+Q5</f>
        <v>1664.8510000000001</v>
      </c>
      <c r="M6" s="61">
        <f>N5+SUM(P5:R5)</f>
        <v>1760.7520000000002</v>
      </c>
      <c r="N6" s="30">
        <f>SUM(P5:S5)</f>
        <v>1823.8890000000001</v>
      </c>
      <c r="O6" s="16">
        <f>T5</f>
        <v>1823.8889999999999</v>
      </c>
      <c r="P6" s="30">
        <f>SUM(Q5:S5,U5)</f>
        <v>1988.9639999999999</v>
      </c>
      <c r="Q6" s="85">
        <f>R5+S5+U5+V5</f>
        <v>2170.8177881773399</v>
      </c>
      <c r="R6" s="85">
        <f>S5+SUM(U5:W5)</f>
        <v>2455.2809310344828</v>
      </c>
      <c r="S6" s="50">
        <f>Y5</f>
        <v>2766.4039408866997</v>
      </c>
      <c r="T6" s="16">
        <f>Y5</f>
        <v>2766.4039408866997</v>
      </c>
    </row>
    <row r="7" spans="1:28" ht="13.15" thickBot="1"/>
    <row r="8" spans="1:28" s="23" customFormat="1" ht="13.5" thickBot="1">
      <c r="A8" s="101" t="s">
        <v>74</v>
      </c>
      <c r="B8" s="102">
        <f t="shared" ref="B8:T8" si="5">B6/B2</f>
        <v>1.3176951547779274</v>
      </c>
      <c r="C8" s="102">
        <f t="shared" si="5"/>
        <v>1.4793428732818676</v>
      </c>
      <c r="D8" s="102">
        <f t="shared" si="5"/>
        <v>1.497679657950995</v>
      </c>
      <c r="E8" s="102">
        <f t="shared" si="5"/>
        <v>1.3474886128364389</v>
      </c>
      <c r="F8" s="103">
        <f t="shared" si="5"/>
        <v>1.2463201834862385</v>
      </c>
      <c r="G8" s="103">
        <f t="shared" si="5"/>
        <v>1.1249640625000001</v>
      </c>
      <c r="H8" s="103">
        <f t="shared" si="5"/>
        <v>1.1139661654135338</v>
      </c>
      <c r="I8" s="103">
        <f t="shared" si="5"/>
        <v>1.1088992907801418</v>
      </c>
      <c r="J8" s="102">
        <f t="shared" si="5"/>
        <v>1.1088992907801418</v>
      </c>
      <c r="K8" s="103">
        <f t="shared" si="5"/>
        <v>1.1008666666666667</v>
      </c>
      <c r="L8" s="103">
        <f t="shared" si="5"/>
        <v>1.0952967105263158</v>
      </c>
      <c r="M8" s="103">
        <f t="shared" si="5"/>
        <v>1.1073911949685535</v>
      </c>
      <c r="N8" s="103">
        <f t="shared" si="5"/>
        <v>1.1399306250000001</v>
      </c>
      <c r="O8" s="102">
        <f t="shared" si="5"/>
        <v>1.1399306249999999</v>
      </c>
      <c r="P8" s="103">
        <f t="shared" si="5"/>
        <v>1.2277555555555555</v>
      </c>
      <c r="Q8" s="103">
        <f t="shared" si="5"/>
        <v>1.2127473676968379</v>
      </c>
      <c r="R8" s="103">
        <f t="shared" si="5"/>
        <v>1.3200435113088618</v>
      </c>
      <c r="S8" s="103">
        <f t="shared" si="5"/>
        <v>1.4114305820850508</v>
      </c>
      <c r="T8" s="102">
        <f t="shared" si="5"/>
        <v>1.4114305820850508</v>
      </c>
      <c r="U8" s="103"/>
      <c r="V8" s="93">
        <f>V6/V2</f>
        <v>0</v>
      </c>
      <c r="W8" s="93">
        <f>W6/W2</f>
        <v>0</v>
      </c>
      <c r="X8" s="93">
        <f>X6/X2</f>
        <v>0</v>
      </c>
      <c r="Y8" s="104">
        <v>1.1299999999999999</v>
      </c>
      <c r="Z8" s="60"/>
      <c r="AA8" s="60"/>
      <c r="AB8" s="60"/>
    </row>
    <row r="10" spans="1:28">
      <c r="Y10" s="47">
        <f>Y2*Y8</f>
        <v>3209.2</v>
      </c>
    </row>
    <row r="12" spans="1:28">
      <c r="U12" s="100"/>
    </row>
  </sheetData>
  <phoneticPr fontId="4" type="noConversion"/>
  <pageMargins left="0.7" right="0.7" top="0.75" bottom="0.75" header="0.3" footer="0.3"/>
  <ignoredErrors>
    <ignoredError sqref="N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FCC50-4823-4532-9DFD-0574682935CA}">
  <dimension ref="A1:M46"/>
  <sheetViews>
    <sheetView topLeftCell="A24" workbookViewId="0">
      <selection activeCell="I21" sqref="I21"/>
    </sheetView>
  </sheetViews>
  <sheetFormatPr defaultColWidth="10.59765625" defaultRowHeight="12.75"/>
  <cols>
    <col min="1" max="1" width="17.59765625" bestFit="1" customWidth="1"/>
    <col min="2" max="2" width="15.59765625" bestFit="1" customWidth="1"/>
    <col min="5" max="5" width="10.59765625" customWidth="1"/>
    <col min="7" max="7" width="12.73046875" bestFit="1" customWidth="1"/>
  </cols>
  <sheetData>
    <row r="1" spans="1:12" ht="13.15">
      <c r="C1" s="35" t="s">
        <v>292</v>
      </c>
      <c r="D1" s="35" t="s">
        <v>293</v>
      </c>
      <c r="E1" s="35" t="s">
        <v>294</v>
      </c>
      <c r="F1" s="35" t="s">
        <v>223</v>
      </c>
      <c r="G1" s="35" t="s">
        <v>205</v>
      </c>
    </row>
    <row r="2" spans="1:12">
      <c r="A2" t="s">
        <v>72</v>
      </c>
      <c r="C2">
        <v>263</v>
      </c>
      <c r="D2">
        <v>327</v>
      </c>
      <c r="E2">
        <v>410</v>
      </c>
      <c r="F2" s="16">
        <v>244.39599999999999</v>
      </c>
      <c r="G2">
        <v>466</v>
      </c>
      <c r="H2">
        <f>244.396/I5</f>
        <v>529.97773299694825</v>
      </c>
    </row>
    <row r="3" spans="1:12">
      <c r="A3" t="s">
        <v>206</v>
      </c>
      <c r="C3" s="125">
        <v>0.122</v>
      </c>
      <c r="D3" s="125">
        <v>0.246</v>
      </c>
      <c r="E3" s="125">
        <v>0.253</v>
      </c>
      <c r="F3" s="125"/>
      <c r="G3" s="125">
        <v>0.13500000000000001</v>
      </c>
    </row>
    <row r="4" spans="1:12">
      <c r="I4" s="218">
        <f>189069/1000</f>
        <v>189.06899999999999</v>
      </c>
    </row>
    <row r="5" spans="1:12">
      <c r="A5" t="s">
        <v>207</v>
      </c>
      <c r="C5">
        <v>42</v>
      </c>
      <c r="D5">
        <v>36</v>
      </c>
      <c r="E5">
        <v>86</v>
      </c>
      <c r="F5" s="16">
        <f>46.989+4.11+0.337+10.101+1.257</f>
        <v>62.793999999999997</v>
      </c>
      <c r="G5">
        <f>112-9</f>
        <v>103</v>
      </c>
      <c r="I5" s="89">
        <f>I4/E2</f>
        <v>0.46114390243902437</v>
      </c>
    </row>
    <row r="6" spans="1:12">
      <c r="A6" t="s">
        <v>208</v>
      </c>
      <c r="C6" s="89">
        <f>C5/C2</f>
        <v>0.1596958174904943</v>
      </c>
      <c r="D6" s="89">
        <f>D5/D2</f>
        <v>0.11009174311926606</v>
      </c>
      <c r="E6" s="89">
        <f>E5/E2</f>
        <v>0.2097560975609756</v>
      </c>
      <c r="F6" s="89">
        <f>F5/F2</f>
        <v>0.25693546539223228</v>
      </c>
      <c r="G6" s="89">
        <f>G5/G2</f>
        <v>0.22103004291845493</v>
      </c>
      <c r="L6" s="89">
        <f>E2/'ROAD-US'!P3</f>
        <v>0.26222412103753773</v>
      </c>
    </row>
    <row r="8" spans="1:12">
      <c r="A8" t="s">
        <v>71</v>
      </c>
      <c r="B8" s="16">
        <f>C8/(1+C9)</f>
        <v>230.97112860892389</v>
      </c>
      <c r="C8">
        <v>264</v>
      </c>
      <c r="D8">
        <v>431</v>
      </c>
      <c r="E8">
        <v>621</v>
      </c>
      <c r="G8">
        <v>713</v>
      </c>
    </row>
    <row r="9" spans="1:12">
      <c r="A9" t="s">
        <v>206</v>
      </c>
      <c r="C9" s="125">
        <v>0.14299999999999999</v>
      </c>
      <c r="D9" s="125">
        <v>0.63300000000000001</v>
      </c>
      <c r="E9" s="125">
        <v>0.441</v>
      </c>
      <c r="F9" s="125"/>
      <c r="G9" s="125">
        <v>0.14799999999999999</v>
      </c>
      <c r="I9">
        <f>F2/I5</f>
        <v>529.97773299694825</v>
      </c>
    </row>
    <row r="10" spans="1:12">
      <c r="A10" t="s">
        <v>74</v>
      </c>
      <c r="B10" s="16">
        <f>C2/B8</f>
        <v>1.1386704545454545</v>
      </c>
      <c r="C10" s="16">
        <f>D2/C8</f>
        <v>1.2386363636363635</v>
      </c>
      <c r="D10" s="16">
        <f>E2/D8</f>
        <v>0.95127610208816704</v>
      </c>
      <c r="E10" s="222">
        <f>H2/E8</f>
        <v>0.85342630112229989</v>
      </c>
      <c r="F10" s="222"/>
      <c r="G10" s="222"/>
    </row>
    <row r="11" spans="1:12">
      <c r="C11" s="125"/>
      <c r="D11" s="125"/>
      <c r="E11" s="229"/>
      <c r="F11" s="229"/>
      <c r="G11" s="125"/>
      <c r="I11">
        <v>189069</v>
      </c>
    </row>
    <row r="12" spans="1:12">
      <c r="C12" s="125"/>
      <c r="D12" s="125"/>
      <c r="E12" s="125"/>
      <c r="F12" s="125"/>
      <c r="G12" s="125"/>
    </row>
    <row r="13" spans="1:12">
      <c r="A13" t="s">
        <v>220</v>
      </c>
      <c r="C13" s="16">
        <v>34.599837000000001</v>
      </c>
      <c r="D13" s="222">
        <v>32.654058999999997</v>
      </c>
      <c r="E13" s="222">
        <v>80.323162999999994</v>
      </c>
      <c r="F13" s="222"/>
      <c r="G13">
        <f>F5/K14</f>
        <v>146.44837966101696</v>
      </c>
      <c r="K13">
        <f>0.99+8.485+24.934+2.322+0.144</f>
        <v>36.875</v>
      </c>
    </row>
    <row r="14" spans="1:12">
      <c r="A14" t="s">
        <v>215</v>
      </c>
      <c r="C14" s="227">
        <f>C13/C2</f>
        <v>0.1315583155893536</v>
      </c>
      <c r="D14" s="227">
        <f>D13/D2</f>
        <v>9.9859507645259929E-2</v>
      </c>
      <c r="E14" s="227">
        <f>E13/E2</f>
        <v>0.19591015365853656</v>
      </c>
      <c r="F14" s="227"/>
      <c r="G14" s="89">
        <f>G13/I9</f>
        <v>0.27632930695573249</v>
      </c>
      <c r="K14">
        <f>K13/E5</f>
        <v>0.42877906976744184</v>
      </c>
    </row>
    <row r="15" spans="1:12">
      <c r="C15" s="222"/>
      <c r="D15" s="222"/>
      <c r="E15" s="222"/>
      <c r="F15" s="222"/>
      <c r="I15" s="89">
        <f>F2*1000/I11-1</f>
        <v>0.29262861706572729</v>
      </c>
    </row>
    <row r="16" spans="1:12">
      <c r="A16" t="s">
        <v>216</v>
      </c>
      <c r="C16" s="222">
        <v>24.111875999999999</v>
      </c>
      <c r="D16" s="222">
        <f>24.841282</f>
        <v>24.841282</v>
      </c>
      <c r="E16" s="222">
        <f>80266105/1000000</f>
        <v>80.266104999999996</v>
      </c>
      <c r="F16" s="222"/>
      <c r="G16">
        <f>E2*(I15+1)</f>
        <v>529.97773299694813</v>
      </c>
    </row>
    <row r="17" spans="1:13">
      <c r="C17" s="222"/>
      <c r="D17" s="222"/>
      <c r="E17" s="227">
        <f>E16/D16-1</f>
        <v>2.2311579168901186</v>
      </c>
      <c r="F17" s="227"/>
    </row>
    <row r="18" spans="1:13">
      <c r="A18" t="s">
        <v>217</v>
      </c>
      <c r="C18" s="227">
        <f>C16/C2</f>
        <v>9.1680136882129268E-2</v>
      </c>
      <c r="D18" s="227">
        <f>D16/D2</f>
        <v>7.5967223241590207E-2</v>
      </c>
      <c r="E18" s="227">
        <f>E16/E2</f>
        <v>0.19577098780487803</v>
      </c>
      <c r="F18" s="227"/>
    </row>
    <row r="19" spans="1:13">
      <c r="C19" s="222"/>
      <c r="D19" s="222"/>
      <c r="E19" s="222"/>
      <c r="F19" s="222"/>
    </row>
    <row r="20" spans="1:13">
      <c r="A20" t="s">
        <v>218</v>
      </c>
      <c r="C20" s="222">
        <v>10.894545000000001</v>
      </c>
      <c r="D20" s="222">
        <v>14.013336000000001</v>
      </c>
      <c r="E20" s="222">
        <v>40.190778999999999</v>
      </c>
      <c r="F20" s="222"/>
      <c r="G20" t="s">
        <v>291</v>
      </c>
      <c r="I20">
        <v>660</v>
      </c>
    </row>
    <row r="21" spans="1:13">
      <c r="C21" s="227">
        <f>C20/C2</f>
        <v>4.1424125475285171E-2</v>
      </c>
      <c r="D21" s="227">
        <f>D20/D2</f>
        <v>4.2854238532110095E-2</v>
      </c>
      <c r="E21" s="227">
        <f>E20/E2</f>
        <v>9.8026290243902442E-2</v>
      </c>
      <c r="F21" s="227"/>
      <c r="G21" s="16">
        <f>I21/I20</f>
        <v>0.80303030303030298</v>
      </c>
      <c r="I21">
        <v>530</v>
      </c>
    </row>
    <row r="22" spans="1:13" ht="13.15">
      <c r="C22" s="125"/>
      <c r="D22" s="125"/>
      <c r="E22" s="125"/>
      <c r="F22" s="125"/>
      <c r="G22" s="125"/>
      <c r="I22">
        <f>(I21/E2)^(1/2)-1</f>
        <v>0.13696214837138188</v>
      </c>
      <c r="J22" s="35" t="s">
        <v>292</v>
      </c>
      <c r="K22" s="35" t="s">
        <v>293</v>
      </c>
      <c r="L22" s="35" t="s">
        <v>294</v>
      </c>
      <c r="M22" t="s">
        <v>295</v>
      </c>
    </row>
    <row r="23" spans="1:13">
      <c r="A23" t="s">
        <v>214</v>
      </c>
      <c r="C23" s="228">
        <f>C16-C20</f>
        <v>13.217330999999998</v>
      </c>
      <c r="D23" s="228">
        <f>D16-D20</f>
        <v>10.827945999999999</v>
      </c>
      <c r="E23" s="228">
        <f>E16-E20</f>
        <v>40.075325999999997</v>
      </c>
      <c r="F23" s="228"/>
      <c r="G23" s="125"/>
      <c r="J23">
        <v>1.1386704545454545</v>
      </c>
      <c r="K23">
        <v>1.2386363636363635</v>
      </c>
      <c r="L23">
        <v>0.95127610208816704</v>
      </c>
      <c r="M23">
        <v>0.80303030303030298</v>
      </c>
    </row>
    <row r="24" spans="1:13">
      <c r="A24" t="s">
        <v>219</v>
      </c>
      <c r="C24" s="125">
        <f>C23/C2</f>
        <v>5.0256011406844096E-2</v>
      </c>
      <c r="D24" s="125">
        <f>D23/D2</f>
        <v>3.3112984709480119E-2</v>
      </c>
      <c r="E24" s="125">
        <f>E23/E2</f>
        <v>9.7744697560975605E-2</v>
      </c>
      <c r="F24" s="125"/>
      <c r="G24" s="125"/>
    </row>
    <row r="25" spans="1:13">
      <c r="C25" s="125"/>
      <c r="D25" s="125"/>
      <c r="E25" s="125"/>
      <c r="F25" s="125"/>
      <c r="G25" s="125"/>
    </row>
    <row r="26" spans="1:13">
      <c r="A26" t="s">
        <v>222</v>
      </c>
      <c r="C26" s="222">
        <v>57.083699000000003</v>
      </c>
      <c r="D26" s="222">
        <v>2.38</v>
      </c>
      <c r="E26" s="222">
        <v>29.411000000000001</v>
      </c>
      <c r="F26" s="222"/>
      <c r="G26" s="125"/>
    </row>
    <row r="28" spans="1:13">
      <c r="A28" t="s">
        <v>209</v>
      </c>
      <c r="C28" s="125">
        <v>0.74199999999999999</v>
      </c>
      <c r="D28" s="125">
        <v>0.61699999999999999</v>
      </c>
      <c r="E28" s="125">
        <v>0.78400000000000003</v>
      </c>
      <c r="F28" s="125"/>
      <c r="G28" s="217">
        <v>0.8</v>
      </c>
      <c r="I28" t="str">
        <f>"(Reported EBITDA - 3.25% Maintainence Capex - Interest - Tax) / Reported EBITDA"</f>
        <v>(Reported EBITDA - 3.25% Maintainence Capex - Interest - Tax) / Reported EBITDA</v>
      </c>
    </row>
    <row r="29" spans="1:13" ht="13.15" thickBot="1">
      <c r="C29" s="125"/>
      <c r="D29" s="125"/>
      <c r="E29" s="125"/>
      <c r="F29" s="125"/>
      <c r="G29" s="217"/>
    </row>
    <row r="30" spans="1:13" ht="13.5" thickBot="1">
      <c r="C30" s="280" t="s">
        <v>221</v>
      </c>
      <c r="D30" s="281"/>
      <c r="E30" s="282"/>
      <c r="F30" s="35"/>
    </row>
    <row r="31" spans="1:13">
      <c r="C31" s="223" t="s">
        <v>210</v>
      </c>
      <c r="D31" s="224"/>
      <c r="E31" s="219">
        <f>84392125/1000000</f>
        <v>84.392124999999993</v>
      </c>
      <c r="F31" s="2"/>
    </row>
    <row r="32" spans="1:13">
      <c r="C32" s="225" t="s">
        <v>211</v>
      </c>
      <c r="D32" s="5"/>
      <c r="E32" s="220">
        <f>7051916/1000000</f>
        <v>7.0519160000000003</v>
      </c>
      <c r="F32" s="2"/>
    </row>
    <row r="33" spans="2:7" ht="13.15" thickBot="1">
      <c r="C33" s="225" t="s">
        <v>212</v>
      </c>
      <c r="D33" s="5"/>
      <c r="E33" s="220">
        <f>E31-E32</f>
        <v>77.340208999999987</v>
      </c>
      <c r="F33" s="2"/>
    </row>
    <row r="34" spans="2:7" ht="13.15" thickBot="1">
      <c r="C34" s="20" t="s">
        <v>213</v>
      </c>
      <c r="D34" s="226"/>
      <c r="E34" s="221">
        <f>E33/E5</f>
        <v>0.8993047558139533</v>
      </c>
      <c r="F34" s="16"/>
    </row>
    <row r="36" spans="2:7">
      <c r="G36" s="218"/>
    </row>
    <row r="37" spans="2:7">
      <c r="G37" s="218"/>
    </row>
    <row r="38" spans="2:7">
      <c r="G38" s="218"/>
    </row>
    <row r="39" spans="2:7">
      <c r="C39" s="232" t="s">
        <v>230</v>
      </c>
      <c r="D39" s="232" t="s">
        <v>229</v>
      </c>
      <c r="E39" s="232" t="s">
        <v>225</v>
      </c>
      <c r="F39" s="232" t="s">
        <v>227</v>
      </c>
      <c r="G39" s="232" t="s">
        <v>228</v>
      </c>
    </row>
    <row r="40" spans="2:7">
      <c r="B40" t="s">
        <v>226</v>
      </c>
      <c r="C40" s="125">
        <v>5.2400000000000002E-2</v>
      </c>
      <c r="D40" s="125">
        <v>4.53E-2</v>
      </c>
      <c r="E40" s="125">
        <v>1.47E-2</v>
      </c>
      <c r="F40" s="125">
        <v>0.1048</v>
      </c>
      <c r="G40" s="89">
        <f>62598194/410482095</f>
        <v>0.15249920706042003</v>
      </c>
    </row>
    <row r="45" spans="2:7">
      <c r="G45">
        <v>1723</v>
      </c>
    </row>
    <row r="46" spans="2:7">
      <c r="G46">
        <f>E2/G45</f>
        <v>0.2379570516540917</v>
      </c>
    </row>
  </sheetData>
  <mergeCells count="1">
    <mergeCell ref="C30:E30"/>
  </mergeCells>
  <phoneticPr fontId="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1D38C-3B07-4367-8730-B056C9F08B92}">
  <dimension ref="A1"/>
  <sheetViews>
    <sheetView workbookViewId="0">
      <selection activeCell="N13" sqref="N13"/>
    </sheetView>
  </sheetViews>
  <sheetFormatPr defaultRowHeight="12.75"/>
  <sheetData/>
  <phoneticPr fontId="4" type="noConversion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DSCHART.FDSChartCtrl.1" shapeId="512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12</xdr:col>
                <xdr:colOff>23813</xdr:colOff>
                <xdr:row>20</xdr:row>
                <xdr:rowOff>147638</xdr:rowOff>
              </to>
            </anchor>
          </objectPr>
        </oleObject>
      </mc:Choice>
      <mc:Fallback>
        <oleObject progId="FDSCHART.FDSChartCtrl.1" shapeId="512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9BD5D-DE88-4D30-9154-D07A54FD2384}">
  <dimension ref="B1:G36"/>
  <sheetViews>
    <sheetView showGridLines="0" workbookViewId="0">
      <selection activeCell="F28" sqref="F28"/>
    </sheetView>
  </sheetViews>
  <sheetFormatPr defaultRowHeight="12.75"/>
  <cols>
    <col min="2" max="2" width="25.9296875" bestFit="1" customWidth="1"/>
    <col min="3" max="7" width="30.59765625" customWidth="1"/>
  </cols>
  <sheetData>
    <row r="1" spans="2:7" ht="13.15" thickBot="1"/>
    <row r="2" spans="2:7" ht="13.15" thickBot="1">
      <c r="B2" s="144"/>
      <c r="C2" s="243" t="s">
        <v>281</v>
      </c>
      <c r="D2" s="243" t="s">
        <v>287</v>
      </c>
    </row>
    <row r="3" spans="2:7">
      <c r="B3" s="223" t="s">
        <v>275</v>
      </c>
      <c r="C3" s="245">
        <f>C36</f>
        <v>0.2551849595031781</v>
      </c>
      <c r="D3" s="245">
        <f>Summary!J7</f>
        <v>0.48090152416073573</v>
      </c>
    </row>
    <row r="4" spans="2:7">
      <c r="B4" s="225" t="s">
        <v>290</v>
      </c>
      <c r="C4" s="247">
        <f ca="1">('ROAD-US'!Z3/'ROAD-US'!F3)^(1/4)-1</f>
        <v>0.32562594077677187</v>
      </c>
      <c r="D4" s="246" t="s">
        <v>289</v>
      </c>
    </row>
    <row r="5" spans="2:7">
      <c r="B5" s="225" t="s">
        <v>276</v>
      </c>
      <c r="C5" s="247">
        <f>C32</f>
        <v>0.16066573175469867</v>
      </c>
      <c r="D5" s="247">
        <f>6567/6239-1</f>
        <v>5.2572527648661715E-2</v>
      </c>
    </row>
    <row r="6" spans="2:7">
      <c r="B6" s="225" t="s">
        <v>277</v>
      </c>
      <c r="C6" s="247">
        <f>C28</f>
        <v>2.9869920203970723E-2</v>
      </c>
      <c r="D6" s="247">
        <f>2121.3/2148.2-1</f>
        <v>-1.2522111535238634E-2</v>
      </c>
    </row>
    <row r="7" spans="2:7">
      <c r="B7" s="225" t="s">
        <v>278</v>
      </c>
      <c r="C7" s="247">
        <f>C24</f>
        <v>0.10184170606314025</v>
      </c>
      <c r="D7" s="247">
        <f>2354/2121-1</f>
        <v>0.10985384252710984</v>
      </c>
    </row>
    <row r="8" spans="2:7">
      <c r="B8" s="225" t="s">
        <v>279</v>
      </c>
      <c r="C8" s="247">
        <f>C20</f>
        <v>7.4107094169638232E-2</v>
      </c>
      <c r="D8" s="247">
        <f>3077/2899-1</f>
        <v>6.140048292514666E-2</v>
      </c>
    </row>
    <row r="9" spans="2:7" ht="13.15" thickBot="1">
      <c r="B9" s="241" t="s">
        <v>280</v>
      </c>
      <c r="C9" s="248">
        <f>C16</f>
        <v>6.6208698886881301E-2</v>
      </c>
      <c r="D9" s="248">
        <f>643/598.6-1</f>
        <v>7.4173070497828286E-2</v>
      </c>
    </row>
    <row r="12" spans="2:7" ht="13.15" thickBot="1"/>
    <row r="13" spans="2:7" ht="13.15" thickBot="1">
      <c r="E13" s="249"/>
      <c r="F13" s="242" t="s">
        <v>286</v>
      </c>
      <c r="G13" s="243" t="s">
        <v>288</v>
      </c>
    </row>
    <row r="14" spans="2:7">
      <c r="B14" t="s">
        <v>282</v>
      </c>
      <c r="C14">
        <f>(640.4+664.7+598.6+582.2)</f>
        <v>2485.8999999999996</v>
      </c>
      <c r="E14" s="223" t="s">
        <v>275</v>
      </c>
      <c r="F14" s="250">
        <v>34.369999999999997</v>
      </c>
      <c r="G14" s="134">
        <f>(79.41/2.31)/((2.31/1.37-1)*100)</f>
        <v>0.50102100027631946</v>
      </c>
    </row>
    <row r="15" spans="2:7">
      <c r="C15">
        <f>490+498.5+488.2+446.9</f>
        <v>1923.6</v>
      </c>
      <c r="E15" s="225" t="s">
        <v>290</v>
      </c>
      <c r="F15" s="251">
        <v>36</v>
      </c>
      <c r="G15" s="152">
        <f>(101.78/2.83)/((2.83/2.22-1)*100)</f>
        <v>1.3088779470543943</v>
      </c>
    </row>
    <row r="16" spans="2:7">
      <c r="C16" s="89">
        <f>(C14/C15)^(1/4)-1</f>
        <v>6.6208698886881301E-2</v>
      </c>
      <c r="E16" s="225" t="s">
        <v>276</v>
      </c>
      <c r="F16" s="252">
        <v>17.329999999999998</v>
      </c>
      <c r="G16" s="152">
        <f>(70.99/4.1)/((4.1/3.58-1)*100)</f>
        <v>1.1920459662288936</v>
      </c>
    </row>
    <row r="17" spans="2:7">
      <c r="E17" s="225" t="s">
        <v>277</v>
      </c>
      <c r="F17" s="251">
        <v>17</v>
      </c>
      <c r="G17" s="152">
        <f>(86.83/5.11)/((5.11/4.82-1)*100)</f>
        <v>2.8242162089209795</v>
      </c>
    </row>
    <row r="18" spans="2:7">
      <c r="B18" t="s">
        <v>279</v>
      </c>
      <c r="C18">
        <v>2899</v>
      </c>
      <c r="E18" s="225" t="s">
        <v>278</v>
      </c>
      <c r="F18" s="252">
        <v>19.190000000000001</v>
      </c>
      <c r="G18" s="152">
        <f>(126.72/6.6)/((6.6/5.94-1)*100)</f>
        <v>1.7280000000000029</v>
      </c>
    </row>
    <row r="19" spans="2:7">
      <c r="C19">
        <v>2178</v>
      </c>
      <c r="E19" s="225" t="s">
        <v>279</v>
      </c>
      <c r="F19" s="252">
        <v>24.85</v>
      </c>
      <c r="G19" s="152">
        <f>(102.9/4.14)/((4.14/3.5-1)*100)</f>
        <v>1.3592617753623191</v>
      </c>
    </row>
    <row r="20" spans="2:7" ht="13.15" thickBot="1">
      <c r="C20" s="89">
        <f>(C18/C19)^(1/4)-1</f>
        <v>7.4107094169638232E-2</v>
      </c>
      <c r="E20" s="241" t="s">
        <v>280</v>
      </c>
      <c r="F20" s="253">
        <v>21.87</v>
      </c>
      <c r="G20" s="244">
        <f>(98.56/4.51)/((4.51/2.63-1)*100)</f>
        <v>0.30571873378308256</v>
      </c>
    </row>
    <row r="22" spans="2:7">
      <c r="B22" t="s">
        <v>283</v>
      </c>
      <c r="C22">
        <f>593.74+582.82+440.36+485.98</f>
        <v>2102.9</v>
      </c>
      <c r="G22" s="16"/>
    </row>
    <row r="23" spans="2:7">
      <c r="C23">
        <f>383.46+400.04+296.69+346.54</f>
        <v>1426.73</v>
      </c>
      <c r="G23" s="16"/>
    </row>
    <row r="24" spans="2:7">
      <c r="C24" s="89">
        <f>(C22/C23)^(1/4)-1</f>
        <v>0.10184170606314025</v>
      </c>
      <c r="D24" s="89"/>
      <c r="E24" s="89"/>
    </row>
    <row r="26" spans="2:7">
      <c r="B26" t="s">
        <v>284</v>
      </c>
      <c r="C26">
        <v>4007.6</v>
      </c>
    </row>
    <row r="27" spans="2:7">
      <c r="C27">
        <v>3562.5</v>
      </c>
    </row>
    <row r="28" spans="2:7">
      <c r="C28" s="89">
        <f>(C26/C27)^(1/4)-1</f>
        <v>2.9869920203970723E-2</v>
      </c>
      <c r="D28" s="89"/>
      <c r="E28" s="89"/>
    </row>
    <row r="30" spans="2:7">
      <c r="B30" t="s">
        <v>285</v>
      </c>
      <c r="C30">
        <f>1649.1+1563.7+1412.7+1515.6</f>
        <v>6141.1</v>
      </c>
    </row>
    <row r="31" spans="2:7">
      <c r="C31">
        <f>942.7+908.2+743.2+789.8</f>
        <v>3383.9000000000005</v>
      </c>
    </row>
    <row r="32" spans="2:7">
      <c r="C32" s="89">
        <f>(C30/C31)^(1/4)-1</f>
        <v>0.16066573175469867</v>
      </c>
      <c r="D32" s="89"/>
      <c r="E32" s="89"/>
    </row>
    <row r="34" spans="2:5">
      <c r="B34" t="s">
        <v>230</v>
      </c>
      <c r="C34">
        <f>561.58+538.16+517.79+371.43</f>
        <v>1988.96</v>
      </c>
      <c r="E34" s="16"/>
    </row>
    <row r="35" spans="2:5">
      <c r="C35">
        <f>190.93+224.65+217.04+168.68</f>
        <v>801.3</v>
      </c>
    </row>
    <row r="36" spans="2:5">
      <c r="C36" s="89">
        <f>(C34/C35)^(1/4)-1</f>
        <v>0.2551849595031781</v>
      </c>
      <c r="D36" s="89"/>
      <c r="E36" s="89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ROAD-US</vt:lpstr>
      <vt:lpstr>Backlog</vt:lpstr>
      <vt:lpstr>LSP</vt:lpstr>
      <vt:lpstr>Valuation</vt:lpstr>
      <vt:lpstr>Comps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FactSet Research Systems</dc:creator>
  <cp:keywords/>
  <dc:description/>
  <cp:lastModifiedBy>瑞泽 夏</cp:lastModifiedBy>
  <dcterms:created xsi:type="dcterms:W3CDTF">2025-02-15T16:36:58Z</dcterms:created>
  <dcterms:modified xsi:type="dcterms:W3CDTF">2025-05-23T16:51:42Z</dcterms:modified>
  <cp:category/>
</cp:coreProperties>
</file>