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cea6cbeee350ba96/Desktop/"/>
    </mc:Choice>
  </mc:AlternateContent>
  <xr:revisionPtr revIDLastSave="2918" documentId="8_{EB1689EC-315F-47D7-9E65-527988AA1568}" xr6:coauthVersionLast="47" xr6:coauthVersionMax="47" xr10:uidLastSave="{A7E6200C-3D86-45D9-97DA-3DD6E0C10799}"/>
  <bookViews>
    <workbookView xWindow="-110" yWindow="-110" windowWidth="25820" windowHeight="15500" firstSheet="1" activeTab="1" xr2:uid="{00000000-000D-0000-FFFF-FFFF00000000}"/>
  </bookViews>
  <sheets>
    <sheet name="__FDSCACHE__" sheetId="4" state="veryHidden" r:id="rId1"/>
    <sheet name="Summary" sheetId="3" r:id="rId2"/>
    <sheet name="AZEK-US" sheetId="2" r:id="rId3"/>
    <sheet name="Valuation" sheetId="5" r:id="rId4"/>
    <sheet name="NAHB RMI" sheetId="7" r:id="rId5"/>
    <sheet name="LIRA" sheetId="8" r:id="rId6"/>
    <sheet name="US Construction"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2" l="1"/>
  <c r="F73" i="2"/>
  <c r="Z238" i="2"/>
  <c r="T240" i="2"/>
  <c r="S240" i="2"/>
  <c r="R240" i="2"/>
  <c r="Q240" i="2"/>
  <c r="V240" i="2"/>
  <c r="Z232" i="2"/>
  <c r="T232" i="2"/>
  <c r="Z229" i="2"/>
  <c r="Z209" i="2"/>
  <c r="Z211" i="2"/>
  <c r="Z217" i="2"/>
  <c r="V218" i="2"/>
  <c r="V217" i="2"/>
  <c r="V215" i="2"/>
  <c r="V209" i="2"/>
  <c r="V208" i="2"/>
  <c r="V211" i="2"/>
  <c r="C42" i="3" l="1"/>
  <c r="AA25" i="2"/>
  <c r="AB25" i="2"/>
  <c r="AC25" i="2"/>
  <c r="Z25" i="2"/>
  <c r="Z24" i="2" s="1"/>
  <c r="AA24" i="2" l="1"/>
  <c r="AB24" i="2" s="1"/>
  <c r="AC24" i="2" s="1"/>
  <c r="K7" i="3" l="1"/>
  <c r="L7" i="3"/>
  <c r="V156" i="2"/>
  <c r="V155" i="2"/>
  <c r="V153" i="2"/>
  <c r="V152" i="2"/>
  <c r="V145" i="2"/>
  <c r="V143" i="2"/>
  <c r="V142" i="2"/>
  <c r="W6" i="2"/>
  <c r="V99" i="2"/>
  <c r="V23" i="2"/>
  <c r="V69" i="2"/>
  <c r="V78" i="2"/>
  <c r="V87" i="2"/>
  <c r="V53" i="2"/>
  <c r="V18" i="2" s="1"/>
  <c r="AA10" i="2"/>
  <c r="AA7" i="2" s="1"/>
  <c r="AC78" i="2"/>
  <c r="AB78" i="2"/>
  <c r="AA78" i="2"/>
  <c r="AC79" i="2" l="1"/>
  <c r="V35" i="2"/>
  <c r="V31" i="2"/>
  <c r="V55" i="2"/>
  <c r="V59" i="2"/>
  <c r="AB79" i="2"/>
  <c r="V154" i="2"/>
  <c r="V157" i="2" s="1"/>
  <c r="V144" i="2"/>
  <c r="V146" i="2" s="1"/>
  <c r="G22" i="3"/>
  <c r="H22" i="3"/>
  <c r="I22" i="3"/>
  <c r="J22" i="3"/>
  <c r="K22" i="3"/>
  <c r="L22" i="3"/>
  <c r="F22" i="3"/>
  <c r="F13" i="3"/>
  <c r="F12" i="3"/>
  <c r="F21" i="3" s="1"/>
  <c r="F4" i="3"/>
  <c r="F6" i="3" s="1"/>
  <c r="AC10" i="2" l="1"/>
  <c r="AC7" i="2" s="1"/>
  <c r="AB10" i="2"/>
  <c r="AB7" i="2" s="1"/>
  <c r="Y217" i="2"/>
  <c r="X217" i="2"/>
  <c r="X208" i="2"/>
  <c r="Y208" i="2"/>
  <c r="X46" i="2"/>
  <c r="X48" i="2" s="1"/>
  <c r="X49" i="2" s="1"/>
  <c r="Y46" i="2"/>
  <c r="Y48" i="2" s="1"/>
  <c r="Y49" i="2" s="1"/>
  <c r="R47" i="2"/>
  <c r="Q47" i="2"/>
  <c r="O47" i="2"/>
  <c r="N47" i="2"/>
  <c r="M47" i="2"/>
  <c r="L47" i="2"/>
  <c r="J47" i="2"/>
  <c r="I47" i="2"/>
  <c r="H47" i="2"/>
  <c r="G47" i="2"/>
  <c r="F47" i="2"/>
  <c r="E47" i="2"/>
  <c r="D47" i="2"/>
  <c r="T6" i="2"/>
  <c r="S6" i="2"/>
  <c r="C9" i="3" a="1"/>
  <c r="C8" i="3" a="1"/>
  <c r="C9" i="3" l="1"/>
  <c r="C8" i="3"/>
  <c r="C10" i="3" s="1"/>
  <c r="C6" i="3" a="1"/>
  <c r="C6" i="3" l="1"/>
  <c r="C7" i="3" s="1"/>
  <c r="C11" i="3" s="1"/>
  <c r="F19" i="3" s="1"/>
  <c r="Z78" i="2" l="1"/>
  <c r="AA79" i="2" s="1"/>
  <c r="W98" i="2"/>
  <c r="X98" i="2"/>
  <c r="Y98" i="2"/>
  <c r="U48" i="2"/>
  <c r="T48" i="2"/>
  <c r="S48" i="2"/>
  <c r="R48" i="2"/>
  <c r="R49" i="2" s="1"/>
  <c r="Q48" i="2"/>
  <c r="Q49" i="2" s="1"/>
  <c r="P48" i="2"/>
  <c r="O48" i="2"/>
  <c r="O49" i="2" s="1"/>
  <c r="N48" i="2"/>
  <c r="N49" i="2" s="1"/>
  <c r="M48" i="2"/>
  <c r="M49" i="2" s="1"/>
  <c r="L48" i="2"/>
  <c r="L49" i="2" s="1"/>
  <c r="K48" i="2"/>
  <c r="J48" i="2"/>
  <c r="J49" i="2" s="1"/>
  <c r="I48" i="2"/>
  <c r="I49" i="2" s="1"/>
  <c r="H48" i="2"/>
  <c r="H49" i="2" s="1"/>
  <c r="G48" i="2"/>
  <c r="G49" i="2" s="1"/>
  <c r="F48" i="2"/>
  <c r="F49" i="2" s="1"/>
  <c r="E48" i="2"/>
  <c r="E49" i="2" s="1"/>
  <c r="D48" i="2"/>
  <c r="D49" i="2" s="1"/>
  <c r="D31" i="2"/>
  <c r="D32" i="2" s="1"/>
  <c r="F31" i="2"/>
  <c r="F32" i="2" s="1"/>
  <c r="E31" i="2"/>
  <c r="E32" i="2" s="1"/>
  <c r="J31" i="2"/>
  <c r="J32" i="2" s="1"/>
  <c r="I31" i="2"/>
  <c r="I32" i="2" s="1"/>
  <c r="H31" i="2"/>
  <c r="H32" i="2" s="1"/>
  <c r="G31" i="2"/>
  <c r="G32" i="2" s="1"/>
  <c r="V10" i="2"/>
  <c r="Z98" i="2" l="1"/>
  <c r="Z235" i="2" s="1"/>
  <c r="T10" i="2"/>
  <c r="S10" i="2"/>
  <c r="F33" i="2"/>
  <c r="E33" i="2"/>
  <c r="X214" i="2"/>
  <c r="X220" i="2" s="1"/>
  <c r="Y214" i="2"/>
  <c r="Y220" i="2" s="1"/>
  <c r="U211" i="2"/>
  <c r="T211" i="2"/>
  <c r="S211" i="2"/>
  <c r="R211" i="2"/>
  <c r="Q211" i="2"/>
  <c r="P211" i="2"/>
  <c r="O211" i="2"/>
  <c r="N211" i="2"/>
  <c r="M211" i="2"/>
  <c r="L211" i="2"/>
  <c r="K211" i="2"/>
  <c r="J211" i="2"/>
  <c r="I211" i="2"/>
  <c r="H211" i="2"/>
  <c r="G211" i="2"/>
  <c r="F211" i="2"/>
  <c r="E211" i="2"/>
  <c r="D211" i="2"/>
  <c r="U217" i="2"/>
  <c r="T217" i="2"/>
  <c r="S217" i="2"/>
  <c r="R217" i="2"/>
  <c r="R218" i="2" s="1"/>
  <c r="Q217" i="2"/>
  <c r="Q218" i="2" s="1"/>
  <c r="P217" i="2"/>
  <c r="O217" i="2"/>
  <c r="O218" i="2" s="1"/>
  <c r="N217" i="2"/>
  <c r="N218" i="2" s="1"/>
  <c r="M217" i="2"/>
  <c r="M218" i="2" s="1"/>
  <c r="L217" i="2"/>
  <c r="L218" i="2" s="1"/>
  <c r="K217" i="2"/>
  <c r="J217" i="2"/>
  <c r="J218" i="2" s="1"/>
  <c r="I217" i="2"/>
  <c r="I218" i="2" s="1"/>
  <c r="H217" i="2"/>
  <c r="H218" i="2" s="1"/>
  <c r="G217" i="2"/>
  <c r="G218" i="2" s="1"/>
  <c r="F217" i="2"/>
  <c r="F218" i="2" s="1"/>
  <c r="E217" i="2"/>
  <c r="E218" i="2" s="1"/>
  <c r="U214" i="2"/>
  <c r="T214" i="2"/>
  <c r="S214" i="2"/>
  <c r="R214" i="2"/>
  <c r="R215" i="2" s="1"/>
  <c r="Q214" i="2"/>
  <c r="Q215" i="2" s="1"/>
  <c r="P214" i="2"/>
  <c r="O214" i="2"/>
  <c r="N214" i="2"/>
  <c r="N215" i="2" s="1"/>
  <c r="M214" i="2"/>
  <c r="L214" i="2"/>
  <c r="K214" i="2"/>
  <c r="J214" i="2"/>
  <c r="I214" i="2"/>
  <c r="H214" i="2"/>
  <c r="G214" i="2"/>
  <c r="G215" i="2" s="1"/>
  <c r="F214" i="2"/>
  <c r="F215" i="2" s="1"/>
  <c r="E214" i="2"/>
  <c r="E215" i="2" s="1"/>
  <c r="U208" i="2"/>
  <c r="T208" i="2"/>
  <c r="S208" i="2"/>
  <c r="R208" i="2"/>
  <c r="R209" i="2" s="1"/>
  <c r="Q208" i="2"/>
  <c r="Q209" i="2" s="1"/>
  <c r="P208" i="2"/>
  <c r="O208" i="2"/>
  <c r="O209" i="2" s="1"/>
  <c r="N208" i="2"/>
  <c r="N209" i="2" s="1"/>
  <c r="M208" i="2"/>
  <c r="M209" i="2" s="1"/>
  <c r="L208" i="2"/>
  <c r="L209" i="2" s="1"/>
  <c r="K208" i="2"/>
  <c r="J208" i="2"/>
  <c r="J209" i="2" s="1"/>
  <c r="I208" i="2"/>
  <c r="I209" i="2" s="1"/>
  <c r="H208" i="2"/>
  <c r="H209" i="2" s="1"/>
  <c r="G208" i="2"/>
  <c r="G209" i="2" s="1"/>
  <c r="F208" i="2"/>
  <c r="F209" i="2" s="1"/>
  <c r="E208" i="2"/>
  <c r="E209" i="2" s="1"/>
  <c r="D217" i="2"/>
  <c r="D214" i="2"/>
  <c r="D208" i="2"/>
  <c r="AA98" i="2" l="1"/>
  <c r="Z99" i="2"/>
  <c r="Y221" i="2"/>
  <c r="Y227" i="2"/>
  <c r="Y226" i="2" s="1"/>
  <c r="X221" i="2"/>
  <c r="X227" i="2"/>
  <c r="X226" i="2" s="1"/>
  <c r="Z6" i="2"/>
  <c r="AA6" i="2" s="1"/>
  <c r="AB6" i="2" s="1"/>
  <c r="AC6" i="2" s="1"/>
  <c r="O220" i="2"/>
  <c r="P220" i="2"/>
  <c r="I220" i="2"/>
  <c r="J220" i="2"/>
  <c r="L220" i="2"/>
  <c r="O215" i="2"/>
  <c r="M220" i="2"/>
  <c r="H220" i="2"/>
  <c r="K220" i="2"/>
  <c r="H215" i="2"/>
  <c r="I215" i="2"/>
  <c r="E220" i="2"/>
  <c r="J215" i="2"/>
  <c r="L215" i="2"/>
  <c r="G220" i="2"/>
  <c r="M215" i="2"/>
  <c r="N220" i="2"/>
  <c r="S220" i="2"/>
  <c r="T220" i="2"/>
  <c r="T227" i="2" s="1"/>
  <c r="T226" i="2" s="1"/>
  <c r="Q220" i="2"/>
  <c r="Q227" i="2" s="1"/>
  <c r="Q226" i="2" s="1"/>
  <c r="F220" i="2"/>
  <c r="F227" i="2" s="1"/>
  <c r="F226" i="2" s="1"/>
  <c r="F240" i="2" s="1"/>
  <c r="R220" i="2"/>
  <c r="R227" i="2" s="1"/>
  <c r="R226" i="2" s="1"/>
  <c r="U220" i="2"/>
  <c r="U227" i="2" s="1"/>
  <c r="U226" i="2" s="1"/>
  <c r="U240" i="2" s="1"/>
  <c r="AB98" i="2" l="1"/>
  <c r="AC98" i="2" s="1"/>
  <c r="AA235" i="2"/>
  <c r="G221" i="2"/>
  <c r="G227" i="2"/>
  <c r="G226" i="2" s="1"/>
  <c r="E223" i="2"/>
  <c r="E227" i="2"/>
  <c r="E226" i="2" s="1"/>
  <c r="E240" i="2" s="1"/>
  <c r="K223" i="2"/>
  <c r="K227" i="2"/>
  <c r="K226" i="2" s="1"/>
  <c r="K240" i="2" s="1"/>
  <c r="M221" i="2"/>
  <c r="M227" i="2"/>
  <c r="M226" i="2" s="1"/>
  <c r="J223" i="2"/>
  <c r="J227" i="2"/>
  <c r="J226" i="2" s="1"/>
  <c r="P223" i="2"/>
  <c r="P227" i="2"/>
  <c r="P226" i="2" s="1"/>
  <c r="P240" i="2" s="1"/>
  <c r="N221" i="2"/>
  <c r="N227" i="2"/>
  <c r="N226" i="2" s="1"/>
  <c r="H221" i="2"/>
  <c r="H227" i="2"/>
  <c r="H226" i="2" s="1"/>
  <c r="L221" i="2"/>
  <c r="L227" i="2"/>
  <c r="L226" i="2" s="1"/>
  <c r="I221" i="2"/>
  <c r="I227" i="2"/>
  <c r="I226" i="2" s="1"/>
  <c r="O221" i="2"/>
  <c r="O227" i="2"/>
  <c r="O226" i="2" s="1"/>
  <c r="S223" i="2"/>
  <c r="S227" i="2"/>
  <c r="S226" i="2" s="1"/>
  <c r="M223" i="2"/>
  <c r="J221" i="2"/>
  <c r="Z10" i="2"/>
  <c r="Z7" i="2" s="1"/>
  <c r="L223" i="2"/>
  <c r="I223" i="2"/>
  <c r="N223" i="2"/>
  <c r="O223" i="2"/>
  <c r="E221" i="2"/>
  <c r="H223" i="2"/>
  <c r="G223" i="2"/>
  <c r="T223" i="2"/>
  <c r="U223" i="2"/>
  <c r="R223" i="2"/>
  <c r="R221" i="2"/>
  <c r="F223" i="2"/>
  <c r="F221" i="2"/>
  <c r="Q221" i="2"/>
  <c r="Q223" i="2"/>
  <c r="AC235" i="2" l="1"/>
  <c r="AB235" i="2"/>
  <c r="D218" i="2"/>
  <c r="D215" i="2"/>
  <c r="D209" i="2"/>
  <c r="U156" i="2"/>
  <c r="T156" i="2"/>
  <c r="S156" i="2"/>
  <c r="R156" i="2"/>
  <c r="Q156" i="2"/>
  <c r="P156" i="2"/>
  <c r="O156" i="2"/>
  <c r="N156" i="2"/>
  <c r="M156" i="2"/>
  <c r="L156" i="2"/>
  <c r="K156" i="2"/>
  <c r="J156" i="2"/>
  <c r="I156" i="2"/>
  <c r="H156" i="2"/>
  <c r="G156" i="2"/>
  <c r="F156" i="2"/>
  <c r="E156" i="2"/>
  <c r="U155" i="2"/>
  <c r="T155" i="2"/>
  <c r="S155" i="2"/>
  <c r="R155" i="2"/>
  <c r="Q155" i="2"/>
  <c r="P155" i="2"/>
  <c r="O155" i="2"/>
  <c r="N155" i="2"/>
  <c r="M155" i="2"/>
  <c r="L155" i="2"/>
  <c r="K155" i="2"/>
  <c r="J155" i="2"/>
  <c r="I155" i="2"/>
  <c r="H155" i="2"/>
  <c r="G155" i="2"/>
  <c r="F155" i="2"/>
  <c r="E155" i="2"/>
  <c r="U153" i="2"/>
  <c r="T153" i="2"/>
  <c r="S153" i="2"/>
  <c r="R153" i="2"/>
  <c r="Q153" i="2"/>
  <c r="P153" i="2"/>
  <c r="O153" i="2"/>
  <c r="N153" i="2"/>
  <c r="M153" i="2"/>
  <c r="L153" i="2"/>
  <c r="K153" i="2"/>
  <c r="J153" i="2"/>
  <c r="I153" i="2"/>
  <c r="H153" i="2"/>
  <c r="G153" i="2"/>
  <c r="F153" i="2"/>
  <c r="E153" i="2"/>
  <c r="U152" i="2"/>
  <c r="T152" i="2"/>
  <c r="S152" i="2"/>
  <c r="R152" i="2"/>
  <c r="Q152" i="2"/>
  <c r="P152" i="2"/>
  <c r="O152" i="2"/>
  <c r="N152" i="2"/>
  <c r="M152" i="2"/>
  <c r="L152" i="2"/>
  <c r="K152" i="2"/>
  <c r="J152" i="2"/>
  <c r="I152" i="2"/>
  <c r="H152" i="2"/>
  <c r="G152" i="2"/>
  <c r="F152" i="2"/>
  <c r="E152" i="2"/>
  <c r="D156" i="2"/>
  <c r="D155" i="2"/>
  <c r="D153" i="2"/>
  <c r="D152" i="2"/>
  <c r="T143" i="2"/>
  <c r="S143" i="2"/>
  <c r="R143" i="2"/>
  <c r="Q143" i="2"/>
  <c r="P143" i="2"/>
  <c r="O143" i="2"/>
  <c r="N143" i="2"/>
  <c r="M143" i="2"/>
  <c r="L143" i="2"/>
  <c r="K143" i="2"/>
  <c r="J143" i="2"/>
  <c r="I143" i="2"/>
  <c r="H143" i="2"/>
  <c r="G143" i="2"/>
  <c r="F143" i="2"/>
  <c r="E143" i="2"/>
  <c r="U143" i="2"/>
  <c r="B143" i="2"/>
  <c r="D143" i="2"/>
  <c r="C143" i="2"/>
  <c r="E154" i="2" l="1"/>
  <c r="E157" i="2" s="1"/>
  <c r="D220" i="2"/>
  <c r="J154" i="2"/>
  <c r="J157" i="2" s="1"/>
  <c r="I154" i="2"/>
  <c r="I157" i="2" s="1"/>
  <c r="G154" i="2"/>
  <c r="F154" i="2"/>
  <c r="P154" i="2"/>
  <c r="P157" i="2" s="1"/>
  <c r="Q154" i="2"/>
  <c r="Q157" i="2" s="1"/>
  <c r="R154" i="2"/>
  <c r="R157" i="2" s="1"/>
  <c r="D154" i="2"/>
  <c r="D157" i="2" s="1"/>
  <c r="F157" i="2"/>
  <c r="S154" i="2"/>
  <c r="S157" i="2" s="1"/>
  <c r="U154" i="2"/>
  <c r="U157" i="2" s="1"/>
  <c r="T154" i="2"/>
  <c r="T157" i="2" s="1"/>
  <c r="G157" i="2"/>
  <c r="H154" i="2"/>
  <c r="H157" i="2" s="1"/>
  <c r="K154" i="2"/>
  <c r="K157" i="2" s="1"/>
  <c r="M154" i="2"/>
  <c r="M157" i="2" s="1"/>
  <c r="L154" i="2"/>
  <c r="L157" i="2" s="1"/>
  <c r="N154" i="2"/>
  <c r="N157" i="2" s="1"/>
  <c r="O154" i="2"/>
  <c r="O157" i="2" s="1"/>
  <c r="D223" i="2" l="1"/>
  <c r="D227" i="2"/>
  <c r="D226" i="2" s="1"/>
  <c r="D240" i="2" s="1"/>
  <c r="D221" i="2"/>
  <c r="B142" i="2" l="1"/>
  <c r="B144" i="2" s="1"/>
  <c r="J148" i="2"/>
  <c r="H148" i="2"/>
  <c r="G148" i="2"/>
  <c r="U145" i="2"/>
  <c r="T145" i="2"/>
  <c r="S145" i="2"/>
  <c r="R145" i="2"/>
  <c r="Q145" i="2"/>
  <c r="P145" i="2"/>
  <c r="O145" i="2"/>
  <c r="N145" i="2"/>
  <c r="M145" i="2"/>
  <c r="L145" i="2"/>
  <c r="K145" i="2"/>
  <c r="J145" i="2"/>
  <c r="I145" i="2"/>
  <c r="H145" i="2"/>
  <c r="G145" i="2"/>
  <c r="F145" i="2"/>
  <c r="E145" i="2"/>
  <c r="D145" i="2"/>
  <c r="C145" i="2"/>
  <c r="U142" i="2"/>
  <c r="T142" i="2"/>
  <c r="S142" i="2"/>
  <c r="S144" i="2" s="1"/>
  <c r="R142" i="2"/>
  <c r="R144" i="2" s="1"/>
  <c r="Q142" i="2"/>
  <c r="Q144" i="2" s="1"/>
  <c r="P142" i="2"/>
  <c r="P144" i="2" s="1"/>
  <c r="O142" i="2"/>
  <c r="O144" i="2" s="1"/>
  <c r="N142" i="2"/>
  <c r="N144" i="2" s="1"/>
  <c r="M142" i="2"/>
  <c r="L142" i="2"/>
  <c r="K142" i="2"/>
  <c r="J142" i="2"/>
  <c r="I142" i="2"/>
  <c r="H142" i="2"/>
  <c r="G142" i="2"/>
  <c r="G144" i="2" s="1"/>
  <c r="F142" i="2"/>
  <c r="F144" i="2" s="1"/>
  <c r="E142" i="2"/>
  <c r="E144" i="2" s="1"/>
  <c r="D142" i="2"/>
  <c r="D144" i="2" s="1"/>
  <c r="C142" i="2"/>
  <c r="B145" i="2"/>
  <c r="G146" i="2" l="1"/>
  <c r="B146" i="2"/>
  <c r="N146" i="2"/>
  <c r="S146" i="2"/>
  <c r="F146" i="2"/>
  <c r="E146" i="2"/>
  <c r="D146" i="2"/>
  <c r="O146" i="2"/>
  <c r="P146" i="2"/>
  <c r="Q146" i="2"/>
  <c r="R146" i="2"/>
  <c r="T144" i="2"/>
  <c r="T146" i="2" s="1"/>
  <c r="U144" i="2"/>
  <c r="U146" i="2" s="1"/>
  <c r="C144" i="2"/>
  <c r="C146" i="2" s="1"/>
  <c r="I144" i="2"/>
  <c r="I146" i="2" s="1"/>
  <c r="J144" i="2"/>
  <c r="J146" i="2" s="1"/>
  <c r="K144" i="2"/>
  <c r="K146" i="2" s="1"/>
  <c r="L144" i="2"/>
  <c r="L146" i="2" s="1"/>
  <c r="M144" i="2"/>
  <c r="M146" i="2" s="1"/>
  <c r="H144" i="2"/>
  <c r="H146" i="2" s="1"/>
  <c r="F99" i="2" l="1"/>
  <c r="E99" i="2"/>
  <c r="F92" i="2"/>
  <c r="E92" i="2"/>
  <c r="D92" i="2"/>
  <c r="E95" i="2"/>
  <c r="D95" i="2"/>
  <c r="F35" i="2"/>
  <c r="F36" i="2" s="1"/>
  <c r="E35" i="2"/>
  <c r="E36" i="2" s="1"/>
  <c r="D35" i="2"/>
  <c r="D36" i="2" s="1"/>
  <c r="D78" i="2"/>
  <c r="D87" i="2"/>
  <c r="E52" i="2"/>
  <c r="E87" i="2"/>
  <c r="E78" i="2"/>
  <c r="E79" i="2" s="1"/>
  <c r="F87" i="2"/>
  <c r="F78" i="2"/>
  <c r="E69" i="2"/>
  <c r="F69" i="2"/>
  <c r="D69" i="2"/>
  <c r="D52" i="2"/>
  <c r="F52" i="2"/>
  <c r="F59" i="2" s="1"/>
  <c r="E51" i="2"/>
  <c r="D51" i="2"/>
  <c r="F23" i="2"/>
  <c r="E23" i="2"/>
  <c r="D23" i="2"/>
  <c r="M99" i="2"/>
  <c r="N99" i="2"/>
  <c r="O99" i="2"/>
  <c r="L99" i="2"/>
  <c r="J53" i="2"/>
  <c r="J159" i="2" s="1"/>
  <c r="J87" i="2"/>
  <c r="J69" i="2"/>
  <c r="J52" i="2"/>
  <c r="J51" i="2"/>
  <c r="J23" i="2"/>
  <c r="J35" i="2"/>
  <c r="J36" i="2" s="1"/>
  <c r="I78" i="2"/>
  <c r="I53" i="2"/>
  <c r="I87" i="2"/>
  <c r="I52" i="2"/>
  <c r="I51" i="2"/>
  <c r="I23" i="2"/>
  <c r="I35" i="2"/>
  <c r="I36" i="2" s="1"/>
  <c r="H53" i="2"/>
  <c r="H159" i="2" s="1"/>
  <c r="G53" i="2"/>
  <c r="H78" i="2"/>
  <c r="J78" i="2"/>
  <c r="G78" i="2"/>
  <c r="G87" i="2"/>
  <c r="H87" i="2"/>
  <c r="H51" i="2"/>
  <c r="H23" i="2"/>
  <c r="H24" i="2" s="1"/>
  <c r="H35" i="2"/>
  <c r="H36" i="2" s="1"/>
  <c r="G35" i="2"/>
  <c r="G36" i="2" s="1"/>
  <c r="G23" i="2"/>
  <c r="K99" i="2"/>
  <c r="R99" i="2"/>
  <c r="S99" i="2"/>
  <c r="T99" i="2"/>
  <c r="Q99" i="2"/>
  <c r="O14" i="2"/>
  <c r="N14" i="2"/>
  <c r="M14" i="2"/>
  <c r="T14" i="2"/>
  <c r="S14" i="2"/>
  <c r="R14" i="2"/>
  <c r="W14" i="2" s="1"/>
  <c r="W4" i="2" s="1"/>
  <c r="L14" i="2"/>
  <c r="Q14" i="2"/>
  <c r="O52" i="2"/>
  <c r="O53" i="2"/>
  <c r="O18" i="2" s="1"/>
  <c r="T53" i="2"/>
  <c r="T18" i="2" s="1"/>
  <c r="T20" i="2"/>
  <c r="T51" i="2" s="1"/>
  <c r="T87" i="2"/>
  <c r="O87" i="2"/>
  <c r="S87" i="2"/>
  <c r="N87" i="2"/>
  <c r="N53" i="2"/>
  <c r="N55" i="2" s="1"/>
  <c r="N56" i="2" s="1"/>
  <c r="S53" i="2"/>
  <c r="S18" i="2" s="1"/>
  <c r="S59" i="2"/>
  <c r="S55" i="2"/>
  <c r="M23" i="2"/>
  <c r="N23" i="2"/>
  <c r="N24" i="2" s="1"/>
  <c r="O23" i="2"/>
  <c r="O24" i="2" s="1"/>
  <c r="M53" i="2"/>
  <c r="M18" i="2" s="1"/>
  <c r="M52" i="2"/>
  <c r="N69" i="2"/>
  <c r="O69" i="2"/>
  <c r="M69" i="2"/>
  <c r="S78" i="2"/>
  <c r="T78" i="2"/>
  <c r="R78" i="2"/>
  <c r="R87" i="2"/>
  <c r="M87" i="2"/>
  <c r="R53" i="2"/>
  <c r="R59" i="2" s="1"/>
  <c r="R60" i="2" s="1"/>
  <c r="S23" i="2"/>
  <c r="R23" i="2"/>
  <c r="L23" i="2"/>
  <c r="L24" i="2" s="1"/>
  <c r="O78" i="2"/>
  <c r="N78" i="2"/>
  <c r="M78" i="2"/>
  <c r="L78" i="2"/>
  <c r="L79" i="2" s="1"/>
  <c r="L87" i="2"/>
  <c r="L53" i="2"/>
  <c r="L18" i="2" s="1"/>
  <c r="Q53" i="2"/>
  <c r="Q18" i="2" s="1"/>
  <c r="Q78" i="2"/>
  <c r="Q87" i="2"/>
  <c r="L52" i="2"/>
  <c r="Q69" i="2"/>
  <c r="Q23" i="2"/>
  <c r="Q52" i="2"/>
  <c r="P99" i="2"/>
  <c r="U99" i="2"/>
  <c r="P78" i="2"/>
  <c r="K78" i="2"/>
  <c r="K87" i="2"/>
  <c r="P87" i="2"/>
  <c r="U87" i="2"/>
  <c r="U78" i="2"/>
  <c r="K53" i="2"/>
  <c r="K18" i="2" s="1"/>
  <c r="P53" i="2"/>
  <c r="P18" i="2" s="1"/>
  <c r="U53" i="2"/>
  <c r="U18" i="2" s="1"/>
  <c r="K23" i="2"/>
  <c r="P23" i="2"/>
  <c r="U23" i="2"/>
  <c r="K69" i="2"/>
  <c r="P69" i="2"/>
  <c r="P52" i="2"/>
  <c r="K52" i="2"/>
  <c r="U52" i="2"/>
  <c r="K51" i="2"/>
  <c r="U51" i="2"/>
  <c r="U69" i="2"/>
  <c r="R40" i="2"/>
  <c r="Q40" i="2"/>
  <c r="O40" i="2"/>
  <c r="N40" i="2"/>
  <c r="M40" i="2"/>
  <c r="L40" i="2"/>
  <c r="H40" i="2"/>
  <c r="I40" i="2"/>
  <c r="J40" i="2"/>
  <c r="G40" i="2"/>
  <c r="E15" i="2"/>
  <c r="D15" i="2"/>
  <c r="E10" i="2"/>
  <c r="F10" i="2"/>
  <c r="D10" i="2"/>
  <c r="D5" i="2"/>
  <c r="E5" i="2"/>
  <c r="F5" i="2"/>
  <c r="F5" i="3" s="1"/>
  <c r="C5" i="2"/>
  <c r="O10" i="2"/>
  <c r="O15" i="2"/>
  <c r="U14" i="2"/>
  <c r="Z14" i="2" s="1"/>
  <c r="AA14" i="2" s="1"/>
  <c r="AA4" i="2" s="1"/>
  <c r="K4" i="3" s="1"/>
  <c r="P11" i="2"/>
  <c r="P14" i="2" s="1"/>
  <c r="P6" i="2"/>
  <c r="P4" i="2"/>
  <c r="K11" i="2"/>
  <c r="K6" i="2"/>
  <c r="K10" i="2" s="1"/>
  <c r="K4" i="2"/>
  <c r="F11" i="2"/>
  <c r="F15" i="2" s="1"/>
  <c r="F40" i="2"/>
  <c r="E40" i="2"/>
  <c r="D40" i="2"/>
  <c r="C40" i="2"/>
  <c r="B40" i="2"/>
  <c r="V4" i="2" l="1"/>
  <c r="V15" i="2"/>
  <c r="F79" i="2"/>
  <c r="O79" i="2"/>
  <c r="K49" i="2"/>
  <c r="G4" i="3"/>
  <c r="G6" i="3" s="1"/>
  <c r="K47" i="2"/>
  <c r="P49" i="2"/>
  <c r="H4" i="3"/>
  <c r="H6" i="3" s="1"/>
  <c r="P47" i="2"/>
  <c r="V48" i="2"/>
  <c r="K19" i="3"/>
  <c r="W46" i="2"/>
  <c r="W48" i="2" s="1"/>
  <c r="W49" i="2" s="1"/>
  <c r="W217" i="2"/>
  <c r="W208" i="2"/>
  <c r="W214" i="2" s="1"/>
  <c r="AA208" i="2"/>
  <c r="AA46" i="2"/>
  <c r="AA48" i="2" s="1"/>
  <c r="AA49" i="2" s="1"/>
  <c r="AA217" i="2"/>
  <c r="M79" i="2"/>
  <c r="U79" i="2"/>
  <c r="Z79" i="2"/>
  <c r="K79" i="2"/>
  <c r="Y14" i="2"/>
  <c r="T4" i="2"/>
  <c r="T47" i="2" s="1"/>
  <c r="Q79" i="2"/>
  <c r="V79" i="2"/>
  <c r="N79" i="2"/>
  <c r="P79" i="2"/>
  <c r="W79" i="2"/>
  <c r="R79" i="2"/>
  <c r="AB14" i="2"/>
  <c r="AA31" i="2"/>
  <c r="Y79" i="2"/>
  <c r="T79" i="2"/>
  <c r="X79" i="2"/>
  <c r="S79" i="2"/>
  <c r="W5" i="2"/>
  <c r="W31" i="2"/>
  <c r="X14" i="2"/>
  <c r="S4" i="2"/>
  <c r="P24" i="2"/>
  <c r="K24" i="2"/>
  <c r="Q35" i="2"/>
  <c r="Q36" i="2" s="1"/>
  <c r="Q31" i="2"/>
  <c r="V33" i="2" s="1"/>
  <c r="U31" i="2"/>
  <c r="U35" i="2" s="1"/>
  <c r="P35" i="2"/>
  <c r="P36" i="2" s="1"/>
  <c r="P31" i="2"/>
  <c r="M35" i="2"/>
  <c r="M36" i="2" s="1"/>
  <c r="M31" i="2"/>
  <c r="L35" i="2"/>
  <c r="L36" i="2" s="1"/>
  <c r="L31" i="2"/>
  <c r="S35" i="2"/>
  <c r="S31" i="2"/>
  <c r="K35" i="2"/>
  <c r="K36" i="2" s="1"/>
  <c r="K31" i="2"/>
  <c r="T31" i="2"/>
  <c r="O35" i="2"/>
  <c r="O36" i="2" s="1"/>
  <c r="O31" i="2"/>
  <c r="G41" i="2"/>
  <c r="G42" i="2" s="1"/>
  <c r="G24" i="2"/>
  <c r="L28" i="2" s="1"/>
  <c r="E41" i="2"/>
  <c r="E24" i="2"/>
  <c r="M41" i="2"/>
  <c r="M42" i="2" s="1"/>
  <c r="M24" i="2"/>
  <c r="M28" i="2" s="1"/>
  <c r="R41" i="2"/>
  <c r="R42" i="2" s="1"/>
  <c r="R24" i="2"/>
  <c r="W24" i="2" s="1"/>
  <c r="W23" i="2" s="1"/>
  <c r="D41" i="2"/>
  <c r="D24" i="2"/>
  <c r="F41" i="2"/>
  <c r="F24" i="2"/>
  <c r="J41" i="2"/>
  <c r="J42" i="2" s="1"/>
  <c r="J24" i="2"/>
  <c r="O28" i="2" s="1"/>
  <c r="I41" i="2"/>
  <c r="I42" i="2" s="1"/>
  <c r="I24" i="2"/>
  <c r="N28" i="2" s="1"/>
  <c r="Q41" i="2"/>
  <c r="Q42" i="2" s="1"/>
  <c r="Q24" i="2"/>
  <c r="Q28" i="2" s="1"/>
  <c r="K15" i="2"/>
  <c r="P215" i="2"/>
  <c r="P209" i="2"/>
  <c r="P221" i="2"/>
  <c r="P218" i="2"/>
  <c r="K215" i="2"/>
  <c r="K218" i="2"/>
  <c r="K209" i="2"/>
  <c r="K221" i="2"/>
  <c r="K40" i="2"/>
  <c r="P40" i="2"/>
  <c r="J59" i="2"/>
  <c r="J60" i="2" s="1"/>
  <c r="G59" i="2"/>
  <c r="G60" i="2" s="1"/>
  <c r="G159" i="2"/>
  <c r="M59" i="2"/>
  <c r="M60" i="2" s="1"/>
  <c r="R61" i="2" s="1"/>
  <c r="M55" i="2"/>
  <c r="M56" i="2" s="1"/>
  <c r="L55" i="2"/>
  <c r="L56" i="2" s="1"/>
  <c r="D55" i="2"/>
  <c r="D56" i="2" s="1"/>
  <c r="E59" i="2"/>
  <c r="E60" i="2" s="1"/>
  <c r="E55" i="2"/>
  <c r="E56" i="2" s="1"/>
  <c r="F55" i="2"/>
  <c r="F56" i="2" s="1"/>
  <c r="D59" i="2"/>
  <c r="D60" i="2" s="1"/>
  <c r="N91" i="2"/>
  <c r="N95" i="2" s="1"/>
  <c r="P55" i="2"/>
  <c r="P83" i="2" s="1"/>
  <c r="P88" i="2" s="1"/>
  <c r="P160" i="2" s="1"/>
  <c r="P59" i="2"/>
  <c r="P60" i="2" s="1"/>
  <c r="Q55" i="2"/>
  <c r="Q91" i="2" s="1"/>
  <c r="L59" i="2"/>
  <c r="L60" i="2" s="1"/>
  <c r="O55" i="2"/>
  <c r="O56" i="2" s="1"/>
  <c r="H59" i="2"/>
  <c r="H60" i="2" s="1"/>
  <c r="Q59" i="2"/>
  <c r="Q60" i="2" s="1"/>
  <c r="K59" i="2"/>
  <c r="K60" i="2" s="1"/>
  <c r="F60" i="2"/>
  <c r="F72" i="2"/>
  <c r="F9" i="3" s="1"/>
  <c r="T59" i="2"/>
  <c r="T55" i="2"/>
  <c r="I59" i="2"/>
  <c r="I60" i="2" s="1"/>
  <c r="R55" i="2"/>
  <c r="K55" i="2"/>
  <c r="R18" i="2"/>
  <c r="N18" i="2"/>
  <c r="N41" i="2"/>
  <c r="N42" i="2" s="1"/>
  <c r="O59" i="2"/>
  <c r="N83" i="2"/>
  <c r="N88" i="2" s="1"/>
  <c r="N160" i="2" s="1"/>
  <c r="T23" i="2"/>
  <c r="J55" i="2"/>
  <c r="N59" i="2"/>
  <c r="N60" i="2" s="1"/>
  <c r="U59" i="2"/>
  <c r="I55" i="2"/>
  <c r="I83" i="2" s="1"/>
  <c r="I88" i="2" s="1"/>
  <c r="I160" i="2" s="1"/>
  <c r="H41" i="2"/>
  <c r="H42" i="2" s="1"/>
  <c r="H55" i="2"/>
  <c r="H56" i="2" s="1"/>
  <c r="G55" i="2"/>
  <c r="G56" i="2" s="1"/>
  <c r="L41" i="2"/>
  <c r="L42" i="2" s="1"/>
  <c r="O41" i="2"/>
  <c r="O42" i="2" s="1"/>
  <c r="U55" i="2"/>
  <c r="P41" i="2"/>
  <c r="P42" i="2" s="1"/>
  <c r="K41" i="2"/>
  <c r="K42" i="2" s="1"/>
  <c r="P15" i="2"/>
  <c r="U15" i="2"/>
  <c r="P5" i="2"/>
  <c r="K5" i="2"/>
  <c r="P10" i="2"/>
  <c r="U10" i="2"/>
  <c r="V5" i="2" l="1"/>
  <c r="Z208" i="2"/>
  <c r="V49" i="2"/>
  <c r="T35" i="2"/>
  <c r="T36" i="2" s="1"/>
  <c r="V47" i="2"/>
  <c r="V56" i="2"/>
  <c r="V32" i="2"/>
  <c r="V24" i="2"/>
  <c r="V28" i="2" s="1"/>
  <c r="W220" i="2"/>
  <c r="W221" i="2" s="1"/>
  <c r="H5" i="3"/>
  <c r="H19" i="3"/>
  <c r="S91" i="2"/>
  <c r="S95" i="2" s="1"/>
  <c r="S47" i="2"/>
  <c r="F20" i="3"/>
  <c r="F10" i="3"/>
  <c r="G5" i="3"/>
  <c r="G19" i="3"/>
  <c r="S24" i="2"/>
  <c r="X24" i="2" s="1"/>
  <c r="X23" i="2" s="1"/>
  <c r="S41" i="2"/>
  <c r="S42" i="2" s="1"/>
  <c r="Z4" i="2"/>
  <c r="P28" i="2"/>
  <c r="W35" i="2"/>
  <c r="W36" i="2" s="1"/>
  <c r="S72" i="2"/>
  <c r="S159" i="2" s="1"/>
  <c r="S36" i="2"/>
  <c r="S49" i="2"/>
  <c r="S218" i="2"/>
  <c r="S209" i="2"/>
  <c r="S215" i="2"/>
  <c r="S221" i="2"/>
  <c r="S40" i="2"/>
  <c r="U4" i="2"/>
  <c r="X31" i="2"/>
  <c r="X33" i="2" s="1"/>
  <c r="Y31" i="2"/>
  <c r="Y33" i="2" s="1"/>
  <c r="V36" i="2"/>
  <c r="V37" i="2" s="1"/>
  <c r="T49" i="2"/>
  <c r="T215" i="2"/>
  <c r="T209" i="2"/>
  <c r="T218" i="2"/>
  <c r="T221" i="2"/>
  <c r="T40" i="2"/>
  <c r="T56" i="2"/>
  <c r="Y56" i="2" s="1"/>
  <c r="Y55" i="2" s="1"/>
  <c r="T60" i="2"/>
  <c r="W41" i="2"/>
  <c r="S83" i="2"/>
  <c r="S88" i="2" s="1"/>
  <c r="S160" i="2" s="1"/>
  <c r="S60" i="2"/>
  <c r="S61" i="2" s="1"/>
  <c r="AC14" i="2"/>
  <c r="AC4" i="2" s="1"/>
  <c r="M4" i="3" s="1"/>
  <c r="AB4" i="2"/>
  <c r="L4" i="3" s="1"/>
  <c r="V41" i="2"/>
  <c r="S56" i="2"/>
  <c r="S32" i="2"/>
  <c r="P32" i="2"/>
  <c r="P33" i="2"/>
  <c r="U33" i="2"/>
  <c r="Q32" i="2"/>
  <c r="Q33" i="2"/>
  <c r="O32" i="2"/>
  <c r="O33" i="2"/>
  <c r="T32" i="2"/>
  <c r="T33" i="2"/>
  <c r="L32" i="2"/>
  <c r="L33" i="2"/>
  <c r="K32" i="2"/>
  <c r="K33" i="2"/>
  <c r="M32" i="2"/>
  <c r="M33" i="2"/>
  <c r="R28" i="2"/>
  <c r="K28" i="2"/>
  <c r="F57" i="2"/>
  <c r="E57" i="2"/>
  <c r="N35" i="2"/>
  <c r="N31" i="2"/>
  <c r="R35" i="2"/>
  <c r="R31" i="2"/>
  <c r="W33" i="2" s="1"/>
  <c r="Q61" i="2"/>
  <c r="E28" i="2"/>
  <c r="F28" i="2"/>
  <c r="M57" i="2"/>
  <c r="T41" i="2"/>
  <c r="T42" i="2" s="1"/>
  <c r="T24" i="2"/>
  <c r="K61" i="2"/>
  <c r="E61" i="2"/>
  <c r="L57" i="2"/>
  <c r="N61" i="2"/>
  <c r="L61" i="2"/>
  <c r="P61" i="2"/>
  <c r="M61" i="2"/>
  <c r="F61" i="2"/>
  <c r="L91" i="2"/>
  <c r="L92" i="2" s="1"/>
  <c r="M83" i="2"/>
  <c r="M88" i="2" s="1"/>
  <c r="M160" i="2" s="1"/>
  <c r="M91" i="2"/>
  <c r="M92" i="2" s="1"/>
  <c r="L83" i="2"/>
  <c r="L88" i="2" s="1"/>
  <c r="L160" i="2" s="1"/>
  <c r="M72" i="2"/>
  <c r="M159" i="2" s="1"/>
  <c r="F148" i="2"/>
  <c r="F149" i="2" s="1"/>
  <c r="F159" i="2"/>
  <c r="F83" i="2"/>
  <c r="F88" i="2" s="1"/>
  <c r="F160" i="2" s="1"/>
  <c r="O83" i="2"/>
  <c r="O88" i="2" s="1"/>
  <c r="O160" i="2" s="1"/>
  <c r="P91" i="2"/>
  <c r="P95" i="2" s="1"/>
  <c r="H12" i="3" s="1"/>
  <c r="L72" i="2"/>
  <c r="L159" i="2" s="1"/>
  <c r="O91" i="2"/>
  <c r="O92" i="2" s="1"/>
  <c r="E83" i="2"/>
  <c r="E88" i="2" s="1"/>
  <c r="E160" i="2" s="1"/>
  <c r="E72" i="2"/>
  <c r="D83" i="2"/>
  <c r="D88" i="2" s="1"/>
  <c r="D160" i="2" s="1"/>
  <c r="D72" i="2"/>
  <c r="P56" i="2"/>
  <c r="Q56" i="2"/>
  <c r="Q83" i="2"/>
  <c r="Q88" i="2" s="1"/>
  <c r="Q160" i="2" s="1"/>
  <c r="N92" i="2"/>
  <c r="G83" i="2"/>
  <c r="G88" i="2" s="1"/>
  <c r="G160" i="2" s="1"/>
  <c r="G161" i="2" s="1"/>
  <c r="G162" i="2" s="1"/>
  <c r="P72" i="2"/>
  <c r="K72" i="2"/>
  <c r="Q72" i="2"/>
  <c r="Q159" i="2" s="1"/>
  <c r="H83" i="2"/>
  <c r="H88" i="2" s="1"/>
  <c r="H160" i="2" s="1"/>
  <c r="H161" i="2" s="1"/>
  <c r="H162" i="2" s="1"/>
  <c r="J56" i="2"/>
  <c r="O57" i="2" s="1"/>
  <c r="J83" i="2"/>
  <c r="J88" i="2" s="1"/>
  <c r="J160" i="2" s="1"/>
  <c r="J161" i="2" s="1"/>
  <c r="J162" i="2" s="1"/>
  <c r="T83" i="2"/>
  <c r="T88" i="2" s="1"/>
  <c r="T160" i="2" s="1"/>
  <c r="R91" i="2"/>
  <c r="R56" i="2"/>
  <c r="I72" i="2"/>
  <c r="T91" i="2"/>
  <c r="K91" i="2"/>
  <c r="K83" i="2"/>
  <c r="K88" i="2" s="1"/>
  <c r="K160" i="2" s="1"/>
  <c r="K56" i="2"/>
  <c r="K57" i="2" s="1"/>
  <c r="R83" i="2"/>
  <c r="R88" i="2" s="1"/>
  <c r="R160" i="2" s="1"/>
  <c r="Q92" i="2"/>
  <c r="Q95" i="2"/>
  <c r="O72" i="2"/>
  <c r="O159" i="2" s="1"/>
  <c r="O60" i="2"/>
  <c r="O61" i="2" s="1"/>
  <c r="J91" i="2"/>
  <c r="I56" i="2"/>
  <c r="N57" i="2" s="1"/>
  <c r="I91" i="2"/>
  <c r="H91" i="2"/>
  <c r="G91" i="2"/>
  <c r="W227" i="2" l="1"/>
  <c r="W226" i="2" s="1"/>
  <c r="V214" i="2"/>
  <c r="V220" i="2" s="1"/>
  <c r="T72" i="2"/>
  <c r="T159" i="2" s="1"/>
  <c r="V57" i="2"/>
  <c r="AA5" i="2"/>
  <c r="J4" i="3"/>
  <c r="AA211" i="2"/>
  <c r="AA214" i="2" s="1"/>
  <c r="U60" i="2"/>
  <c r="U61" i="2" s="1"/>
  <c r="I4" i="3"/>
  <c r="I6" i="3" s="1"/>
  <c r="J7" i="3" s="1"/>
  <c r="U47" i="2"/>
  <c r="L5" i="3"/>
  <c r="L19" i="3"/>
  <c r="M19" i="3"/>
  <c r="M5" i="3"/>
  <c r="K159" i="2"/>
  <c r="G9" i="3"/>
  <c r="P159" i="2"/>
  <c r="P161" i="2" s="1"/>
  <c r="P162" i="2" s="1"/>
  <c r="H9" i="3"/>
  <c r="S92" i="2"/>
  <c r="H21" i="3"/>
  <c r="AB31" i="2"/>
  <c r="AB33" i="2" s="1"/>
  <c r="AB217" i="2"/>
  <c r="AB208" i="2"/>
  <c r="AB211" i="2"/>
  <c r="AB46" i="2"/>
  <c r="AB48" i="2" s="1"/>
  <c r="AB49" i="2" s="1"/>
  <c r="AC31" i="2"/>
  <c r="AC46" i="2"/>
  <c r="AC48" i="2" s="1"/>
  <c r="AC49" i="2" s="1"/>
  <c r="AC208" i="2"/>
  <c r="AC217" i="2"/>
  <c r="AC211" i="2"/>
  <c r="T57" i="2"/>
  <c r="S28" i="2"/>
  <c r="S148" i="2"/>
  <c r="S161" i="2"/>
  <c r="S162" i="2" s="1"/>
  <c r="W42" i="2"/>
  <c r="Z5" i="2"/>
  <c r="Z48" i="2"/>
  <c r="Z49" i="2" s="1"/>
  <c r="N72" i="2"/>
  <c r="N159" i="2" s="1"/>
  <c r="N161" i="2" s="1"/>
  <c r="N162" i="2" s="1"/>
  <c r="N36" i="2"/>
  <c r="X35" i="2"/>
  <c r="X36" i="2" s="1"/>
  <c r="X37" i="2" s="1"/>
  <c r="U91" i="2"/>
  <c r="U92" i="2" s="1"/>
  <c r="S73" i="2"/>
  <c r="R72" i="2"/>
  <c r="R159" i="2" s="1"/>
  <c r="R161" i="2" s="1"/>
  <c r="R162" i="2" s="1"/>
  <c r="R36" i="2"/>
  <c r="W37" i="2" s="1"/>
  <c r="U36" i="2"/>
  <c r="AB5" i="2"/>
  <c r="T28" i="2"/>
  <c r="Y24" i="2"/>
  <c r="Y23" i="2" s="1"/>
  <c r="Z23" i="2" s="1"/>
  <c r="U32" i="2"/>
  <c r="AC5" i="2"/>
  <c r="U56" i="2"/>
  <c r="U57" i="2" s="1"/>
  <c r="R57" i="2"/>
  <c r="W56" i="2"/>
  <c r="W55" i="2" s="1"/>
  <c r="V42" i="2"/>
  <c r="X41" i="2"/>
  <c r="X42" i="2" s="1"/>
  <c r="U49" i="2"/>
  <c r="U218" i="2"/>
  <c r="U215" i="2"/>
  <c r="U40" i="2"/>
  <c r="U41" i="2"/>
  <c r="U42" i="2" s="1"/>
  <c r="U24" i="2"/>
  <c r="U209" i="2"/>
  <c r="U221" i="2"/>
  <c r="U5" i="2"/>
  <c r="U83" i="2"/>
  <c r="U88" i="2" s="1"/>
  <c r="U160" i="2" s="1"/>
  <c r="X56" i="2"/>
  <c r="X55" i="2" s="1"/>
  <c r="S57" i="2"/>
  <c r="U72" i="2"/>
  <c r="Z31" i="2"/>
  <c r="AA33" i="2" s="1"/>
  <c r="Q57" i="2"/>
  <c r="V83" i="2"/>
  <c r="N32" i="2"/>
  <c r="N33" i="2"/>
  <c r="R32" i="2"/>
  <c r="R33" i="2"/>
  <c r="S33" i="2"/>
  <c r="P57" i="2"/>
  <c r="T61" i="2"/>
  <c r="L161" i="2"/>
  <c r="L162" i="2" s="1"/>
  <c r="O161" i="2"/>
  <c r="O162" i="2" s="1"/>
  <c r="L95" i="2"/>
  <c r="Q161" i="2"/>
  <c r="Q162" i="2" s="1"/>
  <c r="K161" i="2"/>
  <c r="K162" i="2" s="1"/>
  <c r="K165" i="2" s="1"/>
  <c r="M148" i="2"/>
  <c r="M73" i="2"/>
  <c r="F161" i="2"/>
  <c r="F162" i="2" s="1"/>
  <c r="T161" i="2"/>
  <c r="T162" i="2" s="1"/>
  <c r="M95" i="2"/>
  <c r="P92" i="2"/>
  <c r="M161" i="2"/>
  <c r="M162" i="2" s="1"/>
  <c r="D148" i="2"/>
  <c r="D149" i="2" s="1"/>
  <c r="D159" i="2"/>
  <c r="D161" i="2" s="1"/>
  <c r="D162" i="2" s="1"/>
  <c r="I148" i="2"/>
  <c r="I159" i="2"/>
  <c r="E148" i="2"/>
  <c r="E149" i="2" s="1"/>
  <c r="E159" i="2"/>
  <c r="E161" i="2" s="1"/>
  <c r="E162" i="2" s="1"/>
  <c r="O95" i="2"/>
  <c r="O73" i="2"/>
  <c r="O148" i="2"/>
  <c r="P73" i="2"/>
  <c r="P148" i="2"/>
  <c r="P149" i="2" s="1"/>
  <c r="L73" i="2"/>
  <c r="L148" i="2"/>
  <c r="Q73" i="2"/>
  <c r="Q148" i="2"/>
  <c r="K73" i="2"/>
  <c r="K148" i="2"/>
  <c r="K149" i="2" s="1"/>
  <c r="I95" i="2"/>
  <c r="I92" i="2"/>
  <c r="J95" i="2"/>
  <c r="J92" i="2"/>
  <c r="G95" i="2"/>
  <c r="G92" i="2"/>
  <c r="H95" i="2"/>
  <c r="H92" i="2"/>
  <c r="K92" i="2"/>
  <c r="K95" i="2"/>
  <c r="G12" i="3" s="1"/>
  <c r="H13" i="3" s="1"/>
  <c r="T95" i="2"/>
  <c r="T92" i="2"/>
  <c r="R92" i="2"/>
  <c r="R95" i="2"/>
  <c r="T73" i="2" l="1"/>
  <c r="Z214" i="2"/>
  <c r="Z215" i="2" s="1"/>
  <c r="T148" i="2"/>
  <c r="U28" i="2"/>
  <c r="S163" i="2"/>
  <c r="T163" i="2"/>
  <c r="Q163" i="2"/>
  <c r="R163" i="2"/>
  <c r="O163" i="2"/>
  <c r="N163" i="2"/>
  <c r="V91" i="2"/>
  <c r="V95" i="2" s="1"/>
  <c r="V88" i="2"/>
  <c r="V160" i="2" s="1"/>
  <c r="V221" i="2"/>
  <c r="V227" i="2"/>
  <c r="V226" i="2" s="1"/>
  <c r="N148" i="2"/>
  <c r="O149" i="2" s="1"/>
  <c r="H20" i="3"/>
  <c r="H10" i="3"/>
  <c r="G20" i="3"/>
  <c r="G10" i="3"/>
  <c r="U159" i="2"/>
  <c r="U161" i="2" s="1"/>
  <c r="U162" i="2" s="1"/>
  <c r="U165" i="2" s="1"/>
  <c r="I9" i="3"/>
  <c r="J19" i="3"/>
  <c r="J5" i="3"/>
  <c r="K5" i="3"/>
  <c r="R148" i="2"/>
  <c r="R73" i="2"/>
  <c r="G21" i="3"/>
  <c r="G13" i="3"/>
  <c r="N73" i="2"/>
  <c r="I19" i="3"/>
  <c r="I5" i="3"/>
  <c r="AC33" i="2"/>
  <c r="AA220" i="2"/>
  <c r="AA215" i="2"/>
  <c r="AB214" i="2"/>
  <c r="AC214" i="2"/>
  <c r="U95" i="2"/>
  <c r="I12" i="3" s="1"/>
  <c r="W83" i="2"/>
  <c r="W87" i="2" s="1"/>
  <c r="W91" i="2" s="1"/>
  <c r="X83" i="2"/>
  <c r="U148" i="2"/>
  <c r="U149" i="2" s="1"/>
  <c r="U73" i="2"/>
  <c r="U164" i="2"/>
  <c r="V92" i="2"/>
  <c r="V72" i="2"/>
  <c r="Z55" i="2"/>
  <c r="Z33" i="2"/>
  <c r="Z32" i="2"/>
  <c r="Y35" i="2"/>
  <c r="Y36" i="2" s="1"/>
  <c r="Y37" i="2" s="1"/>
  <c r="Y41" i="2"/>
  <c r="K164" i="2"/>
  <c r="F164" i="2"/>
  <c r="F165" i="2"/>
  <c r="E164" i="2"/>
  <c r="E165" i="2"/>
  <c r="I161" i="2"/>
  <c r="I162" i="2" s="1"/>
  <c r="L163" i="2" s="1"/>
  <c r="P165" i="2"/>
  <c r="P164" i="2"/>
  <c r="D164" i="2"/>
  <c r="D165" i="2"/>
  <c r="M149" i="2"/>
  <c r="L149" i="2"/>
  <c r="Z220" i="2" l="1"/>
  <c r="Z221" i="2" s="1"/>
  <c r="T149" i="2"/>
  <c r="L165" i="2"/>
  <c r="L164" i="2"/>
  <c r="M163" i="2"/>
  <c r="N165" i="2"/>
  <c r="N164" i="2"/>
  <c r="O165" i="2"/>
  <c r="O164" i="2"/>
  <c r="R165" i="2"/>
  <c r="R164" i="2"/>
  <c r="Q165" i="2"/>
  <c r="Q164" i="2"/>
  <c r="T165" i="2"/>
  <c r="T164" i="2"/>
  <c r="S165" i="2"/>
  <c r="S164" i="2"/>
  <c r="V159" i="2"/>
  <c r="V161" i="2" s="1"/>
  <c r="V162" i="2" s="1"/>
  <c r="V163" i="2" s="1"/>
  <c r="V148" i="2"/>
  <c r="V149" i="2" s="1"/>
  <c r="N149" i="2"/>
  <c r="Q149" i="2"/>
  <c r="S149" i="2"/>
  <c r="AA221" i="2"/>
  <c r="AA227" i="2"/>
  <c r="AA226" i="2" s="1"/>
  <c r="AA240" i="2" s="1"/>
  <c r="R149" i="2"/>
  <c r="I10" i="3"/>
  <c r="I20" i="3"/>
  <c r="I21" i="3"/>
  <c r="I13" i="3"/>
  <c r="Z56" i="2"/>
  <c r="AA56" i="2" s="1"/>
  <c r="AC215" i="2"/>
  <c r="AC220" i="2"/>
  <c r="AB220" i="2"/>
  <c r="AB215" i="2"/>
  <c r="Y42" i="2"/>
  <c r="Y83" i="2"/>
  <c r="V60" i="2"/>
  <c r="V61" i="2" s="1"/>
  <c r="V73" i="2"/>
  <c r="W92" i="2"/>
  <c r="W95" i="2"/>
  <c r="X87" i="2"/>
  <c r="X91" i="2" s="1"/>
  <c r="Z41" i="2"/>
  <c r="Z42" i="2" s="1"/>
  <c r="Z35" i="2"/>
  <c r="Z36" i="2" s="1"/>
  <c r="Z37" i="2" s="1"/>
  <c r="Z227" i="2" l="1"/>
  <c r="Z226" i="2" s="1"/>
  <c r="Z240" i="2" s="1"/>
  <c r="V165" i="2"/>
  <c r="V164" i="2"/>
  <c r="M165" i="2"/>
  <c r="M164" i="2"/>
  <c r="AC221" i="2"/>
  <c r="AC227" i="2"/>
  <c r="AC226" i="2" s="1"/>
  <c r="AC240" i="2" s="1"/>
  <c r="AB221" i="2"/>
  <c r="AB227" i="2"/>
  <c r="AB226" i="2" s="1"/>
  <c r="AB240" i="2" s="1"/>
  <c r="Z57" i="2"/>
  <c r="Y87" i="2"/>
  <c r="Y91" i="2" s="1"/>
  <c r="Z83" i="2"/>
  <c r="X95" i="2"/>
  <c r="X92" i="2"/>
  <c r="AB56" i="2"/>
  <c r="AA55" i="2"/>
  <c r="Z87" i="2" l="1"/>
  <c r="Z88" i="2" s="1"/>
  <c r="Y95" i="2"/>
  <c r="Z95" i="2" s="1"/>
  <c r="J12" i="3" s="1"/>
  <c r="Y92" i="2"/>
  <c r="Z91" i="2"/>
  <c r="Z92" i="2" s="1"/>
  <c r="AA59" i="2"/>
  <c r="AA60" i="2" s="1"/>
  <c r="AC56" i="2"/>
  <c r="AC55" i="2" s="1"/>
  <c r="AB55" i="2"/>
  <c r="J16" i="3" l="1"/>
  <c r="J13" i="3"/>
  <c r="J21" i="3"/>
  <c r="AB59" i="2"/>
  <c r="AC59" i="2"/>
  <c r="AC60" i="2" s="1"/>
  <c r="AB60" i="2" l="1"/>
  <c r="AB61" i="2" s="1"/>
  <c r="AC61" i="2" l="1"/>
  <c r="Y59" i="2" l="1"/>
  <c r="Y72" i="2" s="1"/>
  <c r="Y73" i="2" s="1"/>
  <c r="W59" i="2"/>
  <c r="W60" i="2" s="1"/>
  <c r="W61" i="2" s="1"/>
  <c r="X59" i="2"/>
  <c r="X60" i="2" s="1"/>
  <c r="X61" i="2" s="1"/>
  <c r="Z46" i="2"/>
  <c r="Z47" i="2" l="1"/>
  <c r="Z59" i="2"/>
  <c r="X72" i="2"/>
  <c r="X73" i="2" s="1"/>
  <c r="W72" i="2"/>
  <c r="W73" i="2" s="1"/>
  <c r="Y60" i="2"/>
  <c r="Y61" i="2" s="1"/>
  <c r="Z60" i="2" l="1"/>
  <c r="Z72" i="2"/>
  <c r="Z148" i="2" s="1"/>
  <c r="Z146" i="2" s="1"/>
  <c r="Z73" i="2" l="1"/>
  <c r="J9" i="3"/>
  <c r="AA61" i="2"/>
  <c r="Z61" i="2"/>
  <c r="J20" i="3" l="1"/>
  <c r="J10" i="3"/>
  <c r="AA23" i="2" l="1"/>
  <c r="AA35" i="2" s="1"/>
  <c r="AA36" i="2" s="1"/>
  <c r="AA37" i="2" s="1"/>
  <c r="AB23" i="2"/>
  <c r="AC23" i="2"/>
  <c r="AA72" i="2" l="1"/>
  <c r="AA148" i="2" s="1"/>
  <c r="AA146" i="2" s="1"/>
  <c r="AA41" i="2"/>
  <c r="AA42" i="2" s="1"/>
  <c r="AB41" i="2"/>
  <c r="AB35" i="2"/>
  <c r="AC41" i="2"/>
  <c r="AC35" i="2"/>
  <c r="K9" i="3" l="1"/>
  <c r="K10" i="3" s="1"/>
  <c r="AA83" i="2"/>
  <c r="AA87" i="2" s="1"/>
  <c r="AA91" i="2" s="1"/>
  <c r="AA95" i="2" s="1"/>
  <c r="C35" i="3" s="1"/>
  <c r="C36" i="3" s="1"/>
  <c r="G31" i="3" s="1"/>
  <c r="AA73" i="2"/>
  <c r="AB42" i="2"/>
  <c r="AB83" i="2"/>
  <c r="AC72" i="2"/>
  <c r="AC36" i="2"/>
  <c r="AC83" i="2"/>
  <c r="AC42" i="2"/>
  <c r="AB36" i="2"/>
  <c r="AB72" i="2"/>
  <c r="K20" i="3" l="1"/>
  <c r="C19" i="3"/>
  <c r="C21" i="3" s="1"/>
  <c r="S10" i="3" s="1"/>
  <c r="T10" i="3" s="1"/>
  <c r="AA96" i="2"/>
  <c r="K12" i="3"/>
  <c r="K16" i="3" s="1"/>
  <c r="AA92" i="2"/>
  <c r="AB73" i="2"/>
  <c r="L9" i="3"/>
  <c r="AB148" i="2"/>
  <c r="AB146" i="2" s="1"/>
  <c r="AC87" i="2"/>
  <c r="AC91" i="2" s="1"/>
  <c r="M9" i="3"/>
  <c r="AC73" i="2"/>
  <c r="AC148" i="2"/>
  <c r="AC146" i="2" s="1"/>
  <c r="AB87" i="2"/>
  <c r="AB91" i="2" s="1"/>
  <c r="S31" i="3" l="1"/>
  <c r="T31" i="3" s="1"/>
  <c r="S27" i="3"/>
  <c r="T27" i="3" s="1"/>
  <c r="K13" i="3"/>
  <c r="K21" i="3"/>
  <c r="S25" i="3"/>
  <c r="T25" i="3" s="1"/>
  <c r="S11" i="3"/>
  <c r="T11" i="3" s="1"/>
  <c r="S24" i="3"/>
  <c r="T24" i="3" s="1"/>
  <c r="S16" i="3"/>
  <c r="T16" i="3" s="1"/>
  <c r="S33" i="3"/>
  <c r="T33" i="3" s="1"/>
  <c r="S17" i="3"/>
  <c r="T17" i="3" s="1"/>
  <c r="S30" i="3"/>
  <c r="T30" i="3" s="1"/>
  <c r="S14" i="3"/>
  <c r="T14" i="3" s="1"/>
  <c r="S22" i="3"/>
  <c r="T22" i="3" s="1"/>
  <c r="S34" i="3"/>
  <c r="T34" i="3" s="1"/>
  <c r="S29" i="3"/>
  <c r="T29" i="3" s="1"/>
  <c r="C22" i="3"/>
  <c r="F31" i="3" s="1"/>
  <c r="E32" i="3" s="1"/>
  <c r="S8" i="3"/>
  <c r="T8" i="3" s="1"/>
  <c r="S9" i="3"/>
  <c r="T9" i="3" s="1"/>
  <c r="S13" i="3"/>
  <c r="T13" i="3" s="1"/>
  <c r="S15" i="3"/>
  <c r="T15" i="3" s="1"/>
  <c r="S5" i="3"/>
  <c r="T5" i="3" s="1"/>
  <c r="S19" i="3"/>
  <c r="T19" i="3" s="1"/>
  <c r="S36" i="3"/>
  <c r="T36" i="3" s="1"/>
  <c r="S4" i="3"/>
  <c r="T4" i="3" s="1"/>
  <c r="S3" i="3"/>
  <c r="T3" i="3" s="1"/>
  <c r="S20" i="3"/>
  <c r="T20" i="3" s="1"/>
  <c r="S6" i="3"/>
  <c r="T6" i="3" s="1"/>
  <c r="S21" i="3"/>
  <c r="T21" i="3" s="1"/>
  <c r="S28" i="3"/>
  <c r="T28" i="3" s="1"/>
  <c r="S23" i="3"/>
  <c r="T23" i="3" s="1"/>
  <c r="S32" i="3"/>
  <c r="T32" i="3" s="1"/>
  <c r="S35" i="3"/>
  <c r="T35" i="3" s="1"/>
  <c r="C23" i="3"/>
  <c r="S7" i="3"/>
  <c r="T7" i="3" s="1"/>
  <c r="S26" i="3"/>
  <c r="T26" i="3" s="1"/>
  <c r="S12" i="3"/>
  <c r="T12" i="3" s="1"/>
  <c r="S18" i="3"/>
  <c r="T18" i="3" s="1"/>
  <c r="AB95" i="2"/>
  <c r="AB92" i="2"/>
  <c r="M10" i="3"/>
  <c r="M20" i="3"/>
  <c r="AC92" i="2"/>
  <c r="AC95" i="2"/>
  <c r="C41" i="3" s="1"/>
  <c r="L20" i="3"/>
  <c r="L10" i="3"/>
  <c r="AB96" i="2" l="1"/>
  <c r="L12" i="3"/>
  <c r="C26" i="3"/>
  <c r="C28" i="3" s="1"/>
  <c r="AC96" i="2"/>
  <c r="M12" i="3"/>
  <c r="L21" i="3" l="1"/>
  <c r="L13" i="3"/>
  <c r="L16" i="3"/>
  <c r="V35" i="3"/>
  <c r="V31" i="3"/>
  <c r="V25" i="3"/>
  <c r="V7" i="3"/>
  <c r="V34" i="3"/>
  <c r="U34" i="3"/>
  <c r="V12" i="3"/>
  <c r="V21" i="3"/>
  <c r="U18" i="3"/>
  <c r="V13" i="3"/>
  <c r="V11" i="3"/>
  <c r="V29" i="3"/>
  <c r="V22" i="3"/>
  <c r="V6" i="3"/>
  <c r="C30" i="3"/>
  <c r="U17" i="3"/>
  <c r="U14" i="3"/>
  <c r="V33" i="3"/>
  <c r="U33" i="3"/>
  <c r="U12" i="3"/>
  <c r="V5" i="3"/>
  <c r="U11" i="3"/>
  <c r="V27" i="3"/>
  <c r="V19" i="3"/>
  <c r="U27" i="3"/>
  <c r="U28" i="3"/>
  <c r="V16" i="3"/>
  <c r="U9" i="3"/>
  <c r="U21" i="3"/>
  <c r="V14" i="3"/>
  <c r="V30" i="3"/>
  <c r="U30" i="3"/>
  <c r="U23" i="3"/>
  <c r="U36" i="3"/>
  <c r="V20" i="3"/>
  <c r="V23" i="3"/>
  <c r="U3" i="3"/>
  <c r="U29" i="3"/>
  <c r="V8" i="3"/>
  <c r="V26" i="3"/>
  <c r="V18" i="3"/>
  <c r="V32" i="3"/>
  <c r="U15" i="3"/>
  <c r="V28" i="3"/>
  <c r="U35" i="3"/>
  <c r="U16" i="3"/>
  <c r="U32" i="3"/>
  <c r="U6" i="3"/>
  <c r="U26" i="3"/>
  <c r="C29" i="3"/>
  <c r="V4" i="3"/>
  <c r="U5" i="3"/>
  <c r="U13" i="3"/>
  <c r="U25" i="3"/>
  <c r="V17" i="3"/>
  <c r="V36" i="3"/>
  <c r="V15" i="3"/>
  <c r="U24" i="3"/>
  <c r="V3" i="3"/>
  <c r="U7" i="3"/>
  <c r="U19" i="3"/>
  <c r="V10" i="3"/>
  <c r="U8" i="3"/>
  <c r="V9" i="3"/>
  <c r="V24" i="3"/>
  <c r="U4" i="3"/>
  <c r="U22" i="3"/>
  <c r="U31" i="3"/>
  <c r="U20" i="3"/>
  <c r="U10" i="3"/>
  <c r="M13" i="3"/>
  <c r="M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A1" authorId="0" shapeId="0" xr:uid="{A9A5337A-198F-48E8-B88C-B21FD0067A86}">
      <text>
        <r>
          <rPr>
            <b/>
            <sz val="9"/>
            <color indexed="81"/>
            <rFont val="Tahoma"/>
            <family val="2"/>
          </rPr>
          <t>&lt;?xml version="1.0" encoding="utf-8"?&gt;&lt;Schema xmlns:xsd="http://www.w3.org/2001/XMLSchema" xmlns:xsi="http://www.w3.org/2001/XMLSchema-instance" Version="2" Timestamp="1739116306"&gt;&lt;FQL&gt;&lt;Q&gt;AZEK-US^FREF_SHARES_COMPANY(0,,,,0,"LEGACY")&lt;/Q&gt;&lt;R&gt;1&lt;/R&gt;&lt;C&gt;1&lt;/C&gt;&lt;D xsi:type="xsd:double"&gt;143.555511474609&lt;/D&gt;&lt;/FQL&gt;&lt;FQL&gt;&lt;Q&gt;AZEK-US^FF_DEBT(ANN_R,0)&lt;/Q&gt;&lt;R&gt;1&lt;/R&gt;&lt;C&gt;1&lt;/C&gt;&lt;D xsi:type="xsd:double"&gt;547.325&lt;/D&gt;&lt;/FQL&gt;&lt;FQL&gt;&lt;Q&gt;AZEK-US^FF_CASH_ST(ANN_R,0)&lt;/Q&gt;&lt;R&gt;1&lt;/R&gt;&lt;C&gt;1&lt;/C&gt;&lt;D xsi:type="xsd:double"&gt;164.025&lt;/D&gt;&lt;/FQL&gt;&lt;/Schema&gt;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<sst xmlns="http://schemas.openxmlformats.org/spreadsheetml/2006/main" count="461" uniqueCount="420">
  <si>
    <t>30 SEP '24</t>
  </si>
  <si>
    <t>30 SEP '23</t>
  </si>
  <si>
    <t>30 SEP '22</t>
  </si>
  <si>
    <t>30 SEP '21</t>
  </si>
  <si>
    <t>30 SEP '20</t>
  </si>
  <si>
    <t>30 SEP '19</t>
  </si>
  <si>
    <t>30 SEP '18</t>
  </si>
  <si>
    <t>30 SEP '17</t>
  </si>
  <si>
    <t>Net sales</t>
  </si>
  <si>
    <t>Cost of sales</t>
  </si>
  <si>
    <t>Operating income / loss</t>
  </si>
  <si>
    <t>Total other expenses</t>
  </si>
  <si>
    <t>Income / loss before income taxes</t>
  </si>
  <si>
    <t>Income tax expense / benefit</t>
  </si>
  <si>
    <t>Net income / loss</t>
  </si>
  <si>
    <t>Per share</t>
  </si>
  <si>
    <t>Diluted</t>
  </si>
  <si>
    <t>Weighted average shares</t>
  </si>
  <si>
    <t>Income Statement</t>
    <phoneticPr fontId="5" type="noConversion"/>
  </si>
  <si>
    <t xml:space="preserve">    Residential Segment</t>
    <phoneticPr fontId="5" type="noConversion"/>
  </si>
  <si>
    <t xml:space="preserve">        yoy</t>
    <phoneticPr fontId="5" type="noConversion"/>
  </si>
  <si>
    <t xml:space="preserve">Gross Margin </t>
    <phoneticPr fontId="5" type="noConversion"/>
  </si>
  <si>
    <t>Gross Profit</t>
    <phoneticPr fontId="5" type="noConversion"/>
  </si>
  <si>
    <t xml:space="preserve">    Selling, general and administrative expenses</t>
    <phoneticPr fontId="5" type="noConversion"/>
  </si>
  <si>
    <t>Total Operating Costs</t>
    <phoneticPr fontId="5" type="noConversion"/>
  </si>
  <si>
    <t xml:space="preserve">    Impairment of goodwill   </t>
    <phoneticPr fontId="5" type="noConversion"/>
  </si>
  <si>
    <t xml:space="preserve">    Impairment of property, plant and equipment</t>
    <phoneticPr fontId="5" type="noConversion"/>
  </si>
  <si>
    <t xml:space="preserve">    Other general expenses</t>
    <phoneticPr fontId="5" type="noConversion"/>
  </si>
  <si>
    <t xml:space="preserve">    Loss / gain on disposal of plant, property and equipment</t>
    <phoneticPr fontId="5" type="noConversion"/>
  </si>
  <si>
    <t xml:space="preserve">    Interest expense</t>
    <phoneticPr fontId="5" type="noConversion"/>
  </si>
  <si>
    <t xml:space="preserve">    Loss on extinguishment of debt</t>
    <phoneticPr fontId="5" type="noConversion"/>
  </si>
  <si>
    <t xml:space="preserve">    Loss / gain on sale of business</t>
    <phoneticPr fontId="5" type="noConversion"/>
  </si>
  <si>
    <t>Tax effect of adjusteing items</t>
    <phoneticPr fontId="8" type="noConversion"/>
  </si>
  <si>
    <t>Adjusted Income tax expense</t>
    <phoneticPr fontId="8" type="noConversion"/>
  </si>
  <si>
    <t xml:space="preserve">   Non-GAAP Rate</t>
    <phoneticPr fontId="8" type="noConversion"/>
  </si>
  <si>
    <t>Q1 2022</t>
    <phoneticPr fontId="5" type="noConversion"/>
  </si>
  <si>
    <t>Q2 2022</t>
    <phoneticPr fontId="5" type="noConversion"/>
  </si>
  <si>
    <t>Q3 2022</t>
    <phoneticPr fontId="5" type="noConversion"/>
  </si>
  <si>
    <t>Q4 2022</t>
    <phoneticPr fontId="5" type="noConversion"/>
  </si>
  <si>
    <t>Q1 2023</t>
    <phoneticPr fontId="5" type="noConversion"/>
  </si>
  <si>
    <t>Q2 2023</t>
    <phoneticPr fontId="5" type="noConversion"/>
  </si>
  <si>
    <t>Q3 2023</t>
    <phoneticPr fontId="5" type="noConversion"/>
  </si>
  <si>
    <t>Q4 2023</t>
    <phoneticPr fontId="5" type="noConversion"/>
  </si>
  <si>
    <t>Q1 2024</t>
    <phoneticPr fontId="5" type="noConversion"/>
  </si>
  <si>
    <t>Q2 2024</t>
    <phoneticPr fontId="5" type="noConversion"/>
  </si>
  <si>
    <t>Q3 2024</t>
    <phoneticPr fontId="5" type="noConversion"/>
  </si>
  <si>
    <t>Q4 2024</t>
    <phoneticPr fontId="5" type="noConversion"/>
  </si>
  <si>
    <t xml:space="preserve">    Commercial Segment - After Vycom</t>
    <phoneticPr fontId="5" type="noConversion"/>
  </si>
  <si>
    <t xml:space="preserve">    Commercial Segment</t>
    <phoneticPr fontId="5" type="noConversion"/>
  </si>
  <si>
    <t>Adjusted Gross Margin</t>
    <phoneticPr fontId="5" type="noConversion"/>
  </si>
  <si>
    <t xml:space="preserve">    Other Costs</t>
    <phoneticPr fontId="5" type="noConversion"/>
  </si>
  <si>
    <t xml:space="preserve">    Amortization</t>
    <phoneticPr fontId="5" type="noConversion"/>
  </si>
  <si>
    <t xml:space="preserve">        Less: SBC</t>
    <phoneticPr fontId="8" type="noConversion"/>
  </si>
  <si>
    <t xml:space="preserve">        Less: Acquisitions &amp; Divestiture Costs</t>
    <phoneticPr fontId="5" type="noConversion"/>
  </si>
  <si>
    <t xml:space="preserve">        % of rev,</t>
    <phoneticPr fontId="8" type="noConversion"/>
  </si>
  <si>
    <t xml:space="preserve">         Other Costs</t>
    <phoneticPr fontId="5" type="noConversion"/>
  </si>
  <si>
    <t>Adjusted EBITDA</t>
    <phoneticPr fontId="5" type="noConversion"/>
  </si>
  <si>
    <t>Adjusted EBITDA Margin</t>
    <phoneticPr fontId="5" type="noConversion"/>
  </si>
  <si>
    <t xml:space="preserve">        Removal of Dispensable Equipment</t>
    <phoneticPr fontId="5" type="noConversion"/>
  </si>
  <si>
    <t xml:space="preserve">    Inventory Step-Up (as part of acquisition costs)</t>
    <phoneticPr fontId="5" type="noConversion"/>
  </si>
  <si>
    <t xml:space="preserve">            SBC: IPO (for ANI)</t>
    <phoneticPr fontId="5" type="noConversion"/>
  </si>
  <si>
    <t xml:space="preserve">        Less: Capital Structure Transaction Costs</t>
    <phoneticPr fontId="5" type="noConversion"/>
  </si>
  <si>
    <t>Adjusted Net Income</t>
    <phoneticPr fontId="5" type="noConversion"/>
  </si>
  <si>
    <t xml:space="preserve">    Inventories</t>
    <phoneticPr fontId="5" type="noConversion"/>
  </si>
  <si>
    <t xml:space="preserve">    [Depreciation &amp; Amortization]</t>
    <phoneticPr fontId="5" type="noConversion"/>
  </si>
  <si>
    <t xml:space="preserve">     Non-GAAP Interest Expense</t>
    <phoneticPr fontId="5" type="noConversion"/>
  </si>
  <si>
    <t>Adjusted Gross Profit</t>
    <phoneticPr fontId="5" type="noConversion"/>
  </si>
  <si>
    <t xml:space="preserve">         Amortization (SG&amp;A,for ANI)</t>
    <phoneticPr fontId="5" type="noConversion"/>
  </si>
  <si>
    <t xml:space="preserve">    Non-GAAP SG&amp;A [EBITDA]</t>
    <phoneticPr fontId="8" type="noConversion"/>
  </si>
  <si>
    <t xml:space="preserve">    Non-GAAP SG&amp;A [ANI]</t>
    <phoneticPr fontId="5" type="noConversion"/>
  </si>
  <si>
    <t xml:space="preserve">    Non-GAAP Loss / Gain on disposal of plant, property and equipment</t>
    <phoneticPr fontId="5" type="noConversion"/>
  </si>
  <si>
    <t>Non-GAAP COGS [EBITDA]</t>
    <phoneticPr fontId="5" type="noConversion"/>
  </si>
  <si>
    <t xml:space="preserve">    % of rev.</t>
    <phoneticPr fontId="5" type="noConversion"/>
  </si>
  <si>
    <t>Adjusted Income / loss before income taxes</t>
    <phoneticPr fontId="5" type="noConversion"/>
  </si>
  <si>
    <t>Non-GAAP COGS [AGP/ANI]</t>
    <phoneticPr fontId="5" type="noConversion"/>
  </si>
  <si>
    <t>Adjusted Net Income Margin</t>
    <phoneticPr fontId="5" type="noConversion"/>
  </si>
  <si>
    <t>Balance Sheet</t>
    <phoneticPr fontId="5" type="noConversion"/>
  </si>
  <si>
    <t>Class B common stock</t>
  </si>
  <si>
    <t>Class A common stock</t>
  </si>
  <si>
    <t>Common unit</t>
  </si>
  <si>
    <t>Treasury stock, at cost</t>
  </si>
  <si>
    <t>Accumulated other comprehensive income / loss</t>
  </si>
  <si>
    <t>Retained earnings / accumulated deficit</t>
  </si>
  <si>
    <t>Additional paid-in capital</t>
  </si>
  <si>
    <t>Preferred stock</t>
  </si>
  <si>
    <t>Total stockholders' equity</t>
  </si>
  <si>
    <t>Other non-current liabilities excluding finance lease obligations-less current portion</t>
  </si>
  <si>
    <t>Finance lease obligations-less current portion</t>
  </si>
  <si>
    <t>Other non-current liabilities</t>
  </si>
  <si>
    <t>Long-term debt-less current portion</t>
  </si>
  <si>
    <t>Deferred income taxes</t>
  </si>
  <si>
    <t>Accrued expenses and other liabilities</t>
  </si>
  <si>
    <t>Current portion of long-term debt obligations</t>
  </si>
  <si>
    <t>Accrued interest</t>
  </si>
  <si>
    <t>Accrued rebates</t>
  </si>
  <si>
    <t>Accounts payable</t>
  </si>
  <si>
    <t>Total current liabilities</t>
  </si>
  <si>
    <t>Total liabilities</t>
  </si>
  <si>
    <t>Total liabilities and stockholders' equity</t>
  </si>
  <si>
    <t>Other assets excluding deferred financing costs, net</t>
  </si>
  <si>
    <t>Deferred financing costs, net</t>
  </si>
  <si>
    <t>Other assets</t>
  </si>
  <si>
    <t>Intangible assets, net</t>
  </si>
  <si>
    <t>Goodwill</t>
  </si>
  <si>
    <t>Property, plant and equipment, net</t>
  </si>
  <si>
    <t>Other current assets</t>
  </si>
  <si>
    <t>Prepaid expenses</t>
  </si>
  <si>
    <t>Prepaid expenses and other current assets</t>
  </si>
  <si>
    <t>Inventories</t>
  </si>
  <si>
    <t>Trade receivables, net of allowances</t>
  </si>
  <si>
    <t>Cash and cash equivalents</t>
  </si>
  <si>
    <t>Total current assets</t>
  </si>
  <si>
    <t>Total assets</t>
  </si>
  <si>
    <t>Leverage</t>
    <phoneticPr fontId="5" type="noConversion"/>
  </si>
  <si>
    <t>Total Debt</t>
    <phoneticPr fontId="5" type="noConversion"/>
  </si>
  <si>
    <t>(+) Short-Term Debt</t>
    <phoneticPr fontId="5" type="noConversion"/>
  </si>
  <si>
    <t>(+) Long-Term Debt</t>
    <phoneticPr fontId="5" type="noConversion"/>
  </si>
  <si>
    <t>(-) Cash &amp; Cash Equivalent</t>
    <phoneticPr fontId="5" type="noConversion"/>
  </si>
  <si>
    <t>Net Debt</t>
    <phoneticPr fontId="5" type="noConversion"/>
  </si>
  <si>
    <t>EBITDA</t>
    <phoneticPr fontId="5" type="noConversion"/>
  </si>
  <si>
    <t>Net Debt / EBITDA</t>
    <phoneticPr fontId="5" type="noConversion"/>
  </si>
  <si>
    <t>ROIC</t>
    <phoneticPr fontId="5" type="noConversion"/>
  </si>
  <si>
    <t>Invested Capital</t>
    <phoneticPr fontId="5" type="noConversion"/>
  </si>
  <si>
    <t>(-) Goodwill</t>
    <phoneticPr fontId="5" type="noConversion"/>
  </si>
  <si>
    <t>(-) Other Intangibles</t>
    <phoneticPr fontId="5" type="noConversion"/>
  </si>
  <si>
    <t>(+) Total Asset</t>
    <phoneticPr fontId="5" type="noConversion"/>
  </si>
  <si>
    <t>(-) Non-Interest Bearing CL</t>
    <phoneticPr fontId="5" type="noConversion"/>
  </si>
  <si>
    <t>Tangible Invested Capital</t>
    <phoneticPr fontId="5" type="noConversion"/>
  </si>
  <si>
    <t>Adjusted EBIT</t>
    <phoneticPr fontId="5" type="noConversion"/>
  </si>
  <si>
    <t>Normalized Tax Rate</t>
    <phoneticPr fontId="5" type="noConversion"/>
  </si>
  <si>
    <t>(-) Taxes</t>
    <phoneticPr fontId="5" type="noConversion"/>
  </si>
  <si>
    <t>Adjusted NOPAT</t>
    <phoneticPr fontId="5" type="noConversion"/>
  </si>
  <si>
    <t>Tangible ROIC</t>
    <phoneticPr fontId="5" type="noConversion"/>
  </si>
  <si>
    <t>Cash Flow Statement</t>
    <phoneticPr fontId="5" type="noConversion"/>
  </si>
  <si>
    <t>Free Cash Flow</t>
    <phoneticPr fontId="5" type="noConversion"/>
  </si>
  <si>
    <t>OCF, pre-WC changes</t>
    <phoneticPr fontId="5" type="noConversion"/>
  </si>
  <si>
    <t xml:space="preserve">    % Margin</t>
    <phoneticPr fontId="5" type="noConversion"/>
  </si>
  <si>
    <t>OCF</t>
    <phoneticPr fontId="5" type="noConversion"/>
  </si>
  <si>
    <t>CAPEX</t>
    <phoneticPr fontId="5" type="noConversion"/>
  </si>
  <si>
    <t>Changes in WC</t>
    <phoneticPr fontId="5" type="noConversion"/>
  </si>
  <si>
    <t xml:space="preserve">    FCF Yield</t>
    <phoneticPr fontId="5" type="noConversion"/>
  </si>
  <si>
    <t xml:space="preserve">    FCF Per Share</t>
    <phoneticPr fontId="5" type="noConversion"/>
  </si>
  <si>
    <t>Operating Activities</t>
  </si>
  <si>
    <t>Net Income / Starting Line</t>
  </si>
  <si>
    <t>Depreciation, Depletion &amp; Amortization</t>
  </si>
  <si>
    <t>Depreciation and Depletion</t>
  </si>
  <si>
    <t>Amortization of Intangible Assets</t>
  </si>
  <si>
    <t>Deferred Taxes &amp; Investment Tax Credit</t>
  </si>
  <si>
    <t>Deferred Taxes</t>
  </si>
  <si>
    <t>Other Funds</t>
  </si>
  <si>
    <t>Funds from Operations</t>
  </si>
  <si>
    <t>Changes in Working Capital</t>
  </si>
  <si>
    <t>Receivables</t>
  </si>
  <si>
    <t>Accounts Payable</t>
  </si>
  <si>
    <t>Other Accruals</t>
  </si>
  <si>
    <t>Other Assets/Liabilities</t>
  </si>
  <si>
    <t>Net Operating Cash Flow</t>
  </si>
  <si>
    <t>Investing Activities</t>
  </si>
  <si>
    <t>Capital Expenditures</t>
  </si>
  <si>
    <t>Capital Expenditures (Fixed Assets)</t>
  </si>
  <si>
    <t>Capital Expenditures (Other Assets)</t>
  </si>
  <si>
    <t>Net Assets from Acquisitions</t>
  </si>
  <si>
    <t>Sale of Fixed Assets &amp; Businesses</t>
  </si>
  <si>
    <t>Net Investing Cash Flow</t>
  </si>
  <si>
    <t>Financing Activities</t>
  </si>
  <si>
    <t>Change in Capital Stock</t>
  </si>
  <si>
    <t>Repurchase of Common &amp; Preferred Stk.</t>
  </si>
  <si>
    <t>Sale of Common &amp; Preferred Stock</t>
  </si>
  <si>
    <t>Proceeds from Sale of Stock</t>
  </si>
  <si>
    <t>Proceeds from Stock Options</t>
  </si>
  <si>
    <t>Issuance/Reduction of Debt, Net</t>
  </si>
  <si>
    <t>Change in Long-Term Debt</t>
  </si>
  <si>
    <t>Issuance of Long-Term Debt</t>
  </si>
  <si>
    <t>Reduction in Long-Term Debt</t>
  </si>
  <si>
    <t>Other Uses</t>
  </si>
  <si>
    <t>Net Financing Cash Flow</t>
  </si>
  <si>
    <t>Q1 2025</t>
    <phoneticPr fontId="5" type="noConversion"/>
  </si>
  <si>
    <t>Q2 2025</t>
    <phoneticPr fontId="5" type="noConversion"/>
  </si>
  <si>
    <t>Q3 2025</t>
    <phoneticPr fontId="5" type="noConversion"/>
  </si>
  <si>
    <t>Q4 2025</t>
    <phoneticPr fontId="5" type="noConversion"/>
  </si>
  <si>
    <t>30 SEP '25</t>
    <phoneticPr fontId="5" type="noConversion"/>
  </si>
  <si>
    <t>30 SEP '26</t>
    <phoneticPr fontId="5" type="noConversion"/>
  </si>
  <si>
    <t>30 SEP '27</t>
    <phoneticPr fontId="5" type="noConversion"/>
  </si>
  <si>
    <t>30 SEP '28</t>
    <phoneticPr fontId="5" type="noConversion"/>
  </si>
  <si>
    <t xml:space="preserve">        bps change</t>
    <phoneticPr fontId="5" type="noConversion"/>
  </si>
  <si>
    <t>Depreciation</t>
    <phoneticPr fontId="5" type="noConversion"/>
  </si>
  <si>
    <t xml:space="preserve">            SBC: Post IPO</t>
    <phoneticPr fontId="5" type="noConversion"/>
  </si>
  <si>
    <t xml:space="preserve">                % of rev.</t>
    <phoneticPr fontId="5" type="noConversion"/>
  </si>
  <si>
    <t xml:space="preserve">    yoy</t>
    <phoneticPr fontId="5" type="noConversion"/>
  </si>
  <si>
    <t>Ray's Estimate</t>
    <phoneticPr fontId="8" type="noConversion"/>
  </si>
  <si>
    <t>2021A</t>
    <phoneticPr fontId="8" type="noConversion"/>
  </si>
  <si>
    <t>2022A</t>
    <phoneticPr fontId="8" type="noConversion"/>
  </si>
  <si>
    <t>2023A</t>
    <phoneticPr fontId="8" type="noConversion"/>
  </si>
  <si>
    <t>2025E</t>
    <phoneticPr fontId="8" type="noConversion"/>
  </si>
  <si>
    <t>2026E</t>
    <phoneticPr fontId="8" type="noConversion"/>
  </si>
  <si>
    <t>2027E</t>
    <phoneticPr fontId="8" type="noConversion"/>
  </si>
  <si>
    <t>2028E</t>
    <phoneticPr fontId="8" type="noConversion"/>
  </si>
  <si>
    <t xml:space="preserve">Revenue </t>
    <phoneticPr fontId="8" type="noConversion"/>
  </si>
  <si>
    <t>% Growth</t>
    <phoneticPr fontId="8" type="noConversion"/>
  </si>
  <si>
    <t>Adjusted EBITDA</t>
    <phoneticPr fontId="8" type="noConversion"/>
  </si>
  <si>
    <t>Adjusted EBITDA Margin</t>
    <phoneticPr fontId="8" type="noConversion"/>
  </si>
  <si>
    <t>Diluted EPS</t>
    <phoneticPr fontId="8" type="noConversion"/>
  </si>
  <si>
    <t>Street EPS</t>
    <phoneticPr fontId="8" type="noConversion"/>
  </si>
  <si>
    <t>Delta</t>
    <phoneticPr fontId="8" type="noConversion"/>
  </si>
  <si>
    <t>Multiples</t>
    <phoneticPr fontId="8" type="noConversion"/>
  </si>
  <si>
    <t>EV/Sales</t>
    <phoneticPr fontId="8" type="noConversion"/>
  </si>
  <si>
    <t>EV/EBITDA</t>
    <phoneticPr fontId="8" type="noConversion"/>
  </si>
  <si>
    <t>P/E</t>
    <phoneticPr fontId="8" type="noConversion"/>
  </si>
  <si>
    <t>Street P/E</t>
    <phoneticPr fontId="8" type="noConversion"/>
  </si>
  <si>
    <t>P/E NTM Scenarios</t>
    <phoneticPr fontId="8" type="noConversion"/>
  </si>
  <si>
    <t>Bull</t>
    <phoneticPr fontId="8" type="noConversion"/>
  </si>
  <si>
    <t>Base</t>
    <phoneticPr fontId="8" type="noConversion"/>
  </si>
  <si>
    <t>Bear</t>
    <phoneticPr fontId="8" type="noConversion"/>
  </si>
  <si>
    <t>Summary Table</t>
    <phoneticPr fontId="8" type="noConversion"/>
  </si>
  <si>
    <t>Price</t>
    <phoneticPr fontId="8" type="noConversion"/>
  </si>
  <si>
    <t>Diluted Shares</t>
    <phoneticPr fontId="8" type="noConversion"/>
  </si>
  <si>
    <t>Mark Cap</t>
    <phoneticPr fontId="8" type="noConversion"/>
  </si>
  <si>
    <t>Total Debt</t>
    <phoneticPr fontId="8" type="noConversion"/>
  </si>
  <si>
    <t>Cash</t>
    <phoneticPr fontId="8" type="noConversion"/>
  </si>
  <si>
    <t>Net Debt</t>
    <phoneticPr fontId="8" type="noConversion"/>
  </si>
  <si>
    <t>Enterprice Value</t>
    <phoneticPr fontId="8" type="noConversion"/>
  </si>
  <si>
    <t>Ticker</t>
    <phoneticPr fontId="8" type="noConversion"/>
  </si>
  <si>
    <t>Last Update</t>
    <phoneticPr fontId="8" type="noConversion"/>
  </si>
  <si>
    <t>Bull[1] &amp; Base[2] &amp; Bear[3]</t>
    <phoneticPr fontId="8" type="noConversion"/>
  </si>
  <si>
    <t>Revenue Growth</t>
    <phoneticPr fontId="8" type="noConversion"/>
  </si>
  <si>
    <t>Target P/E</t>
    <phoneticPr fontId="8" type="noConversion"/>
  </si>
  <si>
    <t>EOY Target Price</t>
    <phoneticPr fontId="8" type="noConversion"/>
  </si>
  <si>
    <t>% Return</t>
    <phoneticPr fontId="8" type="noConversion"/>
  </si>
  <si>
    <t>2026 EPS</t>
    <phoneticPr fontId="8" type="noConversion"/>
  </si>
  <si>
    <t>Annualized Return</t>
    <phoneticPr fontId="8" type="noConversion"/>
  </si>
  <si>
    <t>FY 2025 Target</t>
    <phoneticPr fontId="8" type="noConversion"/>
  </si>
  <si>
    <t>2028 EPS</t>
    <phoneticPr fontId="8" type="noConversion"/>
  </si>
  <si>
    <t>FY 2027 Target</t>
    <phoneticPr fontId="8" type="noConversion"/>
  </si>
  <si>
    <t>AZEK</t>
    <phoneticPr fontId="8" type="noConversion"/>
  </si>
  <si>
    <t>2/3/2025</t>
    <phoneticPr fontId="8" type="noConversion"/>
  </si>
  <si>
    <t>FY 2025 Risk Case</t>
    <phoneticPr fontId="8" type="noConversion"/>
  </si>
  <si>
    <t>This sheet contains FactSet XML data for use with this workbook's =FDS codes.  Modifying the worksheet's contents may damage the workbook's =FDS functionality.</t>
  </si>
  <si>
    <t xml:space="preserve">            % of rev,</t>
    <phoneticPr fontId="8" type="noConversion"/>
  </si>
  <si>
    <t>2024A</t>
    <phoneticPr fontId="8" type="noConversion"/>
  </si>
  <si>
    <t>Buy Price</t>
    <phoneticPr fontId="8" type="noConversion"/>
  </si>
  <si>
    <t>No-Brainer</t>
    <phoneticPr fontId="8" type="noConversion"/>
  </si>
  <si>
    <t>1 yr %</t>
    <phoneticPr fontId="8" type="noConversion"/>
  </si>
  <si>
    <t>Annualized</t>
    <phoneticPr fontId="8" type="noConversion"/>
  </si>
  <si>
    <t>3 yr  %</t>
    <phoneticPr fontId="8" type="noConversion"/>
  </si>
  <si>
    <t>NAHB/Westlake Royal Remodeling Market Index  (RMI)</t>
  </si>
  <si>
    <t>National Index, Components &amp; Subcomponents</t>
  </si>
  <si>
    <t>(Seasonally Adjusted)</t>
  </si>
  <si>
    <t>Current Conditions Index</t>
  </si>
  <si>
    <t>The current market for large remodeling projects ($50,000 or more) in the area where you operate.</t>
  </si>
  <si>
    <t>The current market for moderately-sized remodeling projects (at least $20,000 but less than $50,000) in the area where you operate.</t>
  </si>
  <si>
    <t>The current market for small remodeling projects (under $20,000) in the area where you operate.</t>
  </si>
  <si>
    <t>Future Indicators Index</t>
  </si>
  <si>
    <t>The current rate at which your leads and inquiries are coming in.</t>
  </si>
  <si>
    <t>Your current backlog of remodeling projects.</t>
  </si>
  <si>
    <t>The overall RMI and its subcomponents are measured on a scale of 0 to 100, where an index number of 50 indicates equal numbers of remodelers report activity is good and poor for the previous quarter.</t>
  </si>
  <si>
    <t>The overall RMI is an average of the current market index and the future indicators index. The current market index is an average of the following components: the current market for large remodeling projects, moderately-sized projects, and small projects. The future indicators index is an average of the current rate at which your leads and inquiries are coming in component, and your current backlog of remodeling projects component</t>
  </si>
  <si>
    <t>Source: NAHB Economics Group: Remodeling Market Index quarterly survey of remodelers.</t>
  </si>
  <si>
    <t>Q4 2024 Results based on 164 responses</t>
  </si>
  <si>
    <t>Homeowner Improvement and Repair Activity</t>
  </si>
  <si>
    <t>Date</t>
  </si>
  <si>
    <t>Four-Quarter Moving Total in Billions</t>
  </si>
  <si>
    <t>Four-Quarter Moving Rate of Change</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</si>
  <si>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</si>
  <si>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</si>
  <si>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</si>
  <si>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</si>
  <si>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</si>
  <si>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</si>
  <si>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</si>
  <si>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</si>
  <si>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</si>
  <si>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</si>
  <si>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</si>
  <si>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</si>
  <si>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</si>
  <si>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</si>
  <si>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</si>
  <si>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</si>
  <si>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</si>
  <si>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</si>
  <si>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</si>
  <si>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</si>
  <si>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</si>
  <si>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</si>
  <si>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</si>
  <si>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</si>
  <si>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</si>
  <si>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</si>
  <si>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</si>
  <si>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</si>
  <si>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</si>
  <si>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</si>
  <si>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</si>
  <si>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</si>
  <si>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</si>
  <si>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</si>
  <si>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</si>
  <si>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</si>
  <si>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</si>
  <si>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</si>
  <si>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</si>
  <si>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</si>
  <si>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</si>
  <si>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</si>
  <si>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</si>
  <si>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</si>
  <si>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</si>
  <si>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</si>
  <si>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</si>
  <si>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</si>
  <si>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</si>
  <si>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</si>
  <si>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</si>
  <si>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</si>
  <si>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</si>
  <si>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</si>
  <si>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</si>
  <si>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</si>
  <si>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</si>
  <si>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 xml:space="preserve">2011:Q1 </t>
  </si>
  <si>
    <t>2011:Q2</t>
  </si>
  <si>
    <t>2011:Q3</t>
  </si>
  <si>
    <t>2011:Q4</t>
  </si>
  <si>
    <t>2012:Q1</t>
  </si>
  <si>
    <t>2012:Q2</t>
  </si>
  <si>
    <t>2012:Q3</t>
  </si>
  <si>
    <t>2012:Q4</t>
  </si>
  <si>
    <t>2013:Q1</t>
  </si>
  <si>
    <t>2013:Q2</t>
  </si>
  <si>
    <t>2013:Q3</t>
  </si>
  <si>
    <t xml:space="preserve">2013:Q4 </t>
  </si>
  <si>
    <t xml:space="preserve">2014:Q1 </t>
  </si>
  <si>
    <t xml:space="preserve">2014:Q2  </t>
  </si>
  <si>
    <t xml:space="preserve">2014:Q3 </t>
  </si>
  <si>
    <t xml:space="preserve">2014:Q4 </t>
  </si>
  <si>
    <t xml:space="preserve">2015:Q1 </t>
  </si>
  <si>
    <t xml:space="preserve">2015:Q2 </t>
  </si>
  <si>
    <t xml:space="preserve">2015:Q3 </t>
  </si>
  <si>
    <t>2015:Q4</t>
  </si>
  <si>
    <t>2016:Q1</t>
  </si>
  <si>
    <t>2016:Q2</t>
  </si>
  <si>
    <t>2016:Q3</t>
  </si>
  <si>
    <t>2016:Q4</t>
  </si>
  <si>
    <t xml:space="preserve">2017:Q1 </t>
  </si>
  <si>
    <t>2017:Q2</t>
  </si>
  <si>
    <t xml:space="preserve">2017:Q3 </t>
  </si>
  <si>
    <t xml:space="preserve">2017:Q4 </t>
  </si>
  <si>
    <t xml:space="preserve">2018:Q1 </t>
  </si>
  <si>
    <t xml:space="preserve">2018:Q2 </t>
  </si>
  <si>
    <t xml:space="preserve">2018:Q3 </t>
  </si>
  <si>
    <t xml:space="preserve">2018:Q4 </t>
  </si>
  <si>
    <t xml:space="preserve">2019:Q1 </t>
  </si>
  <si>
    <t xml:space="preserve">2019:Q2 </t>
  </si>
  <si>
    <t>2019:Q3</t>
  </si>
  <si>
    <t>2019:Q4</t>
  </si>
  <si>
    <t>2020:Q1</t>
  </si>
  <si>
    <t xml:space="preserve">2020:Q2 </t>
  </si>
  <si>
    <t>2020:Q3</t>
  </si>
  <si>
    <t xml:space="preserve">2020:Q4 </t>
  </si>
  <si>
    <t>2021:Q1</t>
  </si>
  <si>
    <t xml:space="preserve">2021:Q2 </t>
  </si>
  <si>
    <t>2021:Q3</t>
  </si>
  <si>
    <t xml:space="preserve">2021:Q4 </t>
  </si>
  <si>
    <t>2022:Q1</t>
  </si>
  <si>
    <t xml:space="preserve">2022:Q2 </t>
  </si>
  <si>
    <t>2022:Q3</t>
  </si>
  <si>
    <t xml:space="preserve">2022:Q4 </t>
  </si>
  <si>
    <t>2023:Q1</t>
  </si>
  <si>
    <t xml:space="preserve">2023:Q2 </t>
  </si>
  <si>
    <t>2023:Q3</t>
  </si>
  <si>
    <t xml:space="preserve">2023:Q4 </t>
  </si>
  <si>
    <t>2024:Q1</t>
  </si>
  <si>
    <t xml:space="preserve">2024:Q2 </t>
  </si>
  <si>
    <t>2024:Q3</t>
  </si>
  <si>
    <t xml:space="preserve">2024:Q4 </t>
  </si>
  <si>
    <t>2025:Q1 (p)</t>
  </si>
  <si>
    <t>2025:Q2 (p)</t>
  </si>
  <si>
    <t>2025:Q3 (p)</t>
  </si>
  <si>
    <t>2025:Q4 (p)</t>
  </si>
  <si>
    <t>Notes: Historical data through 2023 are JCHS estimates based on American Housing Survey data. Historical estimates since 2023 are produced using the Leading Indicator of Remodeling Activity model until new AHS benchmark data become available. Projections (p) are produced by the LIRA model.</t>
  </si>
  <si>
    <t>Source: Joint Center for Housing Studies.</t>
  </si>
  <si>
    <t>Cash Increase</t>
    <phoneticPr fontId="5" type="noConversion"/>
  </si>
  <si>
    <t>Debt</t>
    <phoneticPr fontId="5" type="noConversion"/>
  </si>
  <si>
    <t>Shares Repurchase</t>
    <phoneticPr fontId="5" type="noConversion"/>
  </si>
  <si>
    <t>Merger &amp; Acquisition</t>
    <phoneticPr fontId="5" type="noConversion"/>
  </si>
  <si>
    <t>(-)Business Acquisitions</t>
    <phoneticPr fontId="5" type="noConversion"/>
  </si>
  <si>
    <t>(+)FCF</t>
    <phoneticPr fontId="5" type="noConversion"/>
  </si>
  <si>
    <t>(+)Divestitures</t>
    <phoneticPr fontId="5" type="noConversion"/>
  </si>
  <si>
    <t>Use of Cash (Major)</t>
    <phoneticPr fontId="5" type="noConversion"/>
  </si>
  <si>
    <t>(-) Repayment, net</t>
    <phoneticPr fontId="5" type="noConversion"/>
  </si>
  <si>
    <t>Net Change in Cash</t>
    <phoneticPr fontId="5" type="noConversion"/>
  </si>
  <si>
    <t>(-)Purchase of Common Stocks, net</t>
    <phoneticPr fontId="5" type="noConversion"/>
  </si>
  <si>
    <t>(-) Other Funds</t>
    <phoneticPr fontId="5" type="noConversion"/>
  </si>
  <si>
    <t>Adjusted NOPAT, TTM</t>
    <phoneticPr fontId="5" type="noConversion"/>
  </si>
  <si>
    <t xml:space="preserve">Street Revenue </t>
    <phoneticPr fontId="8" type="noConversion"/>
  </si>
  <si>
    <t xml:space="preserve">        risk case yoy</t>
    <phoneticPr fontId="5" type="noConversion"/>
  </si>
  <si>
    <t>Margin</t>
    <phoneticPr fontId="8" type="noConversion"/>
  </si>
  <si>
    <t>FY 2027 Risk Case</t>
    <phoneticPr fontId="8" type="noConversion"/>
  </si>
  <si>
    <t>Reward/Risk</t>
    <phoneticPr fontId="8" type="noConversion"/>
  </si>
  <si>
    <t>2021 Q4</t>
    <phoneticPr fontId="8" type="noConversion"/>
  </si>
  <si>
    <t>2022 Q1</t>
    <phoneticPr fontId="8" type="noConversion"/>
  </si>
  <si>
    <t>2022 Q2</t>
    <phoneticPr fontId="8" type="noConversion"/>
  </si>
  <si>
    <t>2022 Q3</t>
    <phoneticPr fontId="8" type="noConversion"/>
  </si>
  <si>
    <t>2022 Q4</t>
    <phoneticPr fontId="8" type="noConversion"/>
  </si>
  <si>
    <t>2023 Q1</t>
    <phoneticPr fontId="8" type="noConversion"/>
  </si>
  <si>
    <t>2023 Q2</t>
    <phoneticPr fontId="8" type="noConversion"/>
  </si>
  <si>
    <t>2023 Q3</t>
    <phoneticPr fontId="8" type="noConversion"/>
  </si>
  <si>
    <t>2023 Q4</t>
    <phoneticPr fontId="8" type="noConversion"/>
  </si>
  <si>
    <t>2024 Q1</t>
    <phoneticPr fontId="8" type="noConversion"/>
  </si>
  <si>
    <t>2024 Q2</t>
    <phoneticPr fontId="8" type="noConversion"/>
  </si>
  <si>
    <t>2024 Q3</t>
    <phoneticPr fontId="8" type="noConversion"/>
  </si>
  <si>
    <t>2024 Q4</t>
    <phoneticPr fontId="8" type="noConversion"/>
  </si>
  <si>
    <t>Q1 2025</t>
  </si>
  <si>
    <t>Q2 2025</t>
  </si>
  <si>
    <t>Q3 2025</t>
  </si>
  <si>
    <t>Q4 2025</t>
  </si>
  <si>
    <t>30 SEP '25</t>
  </si>
  <si>
    <t>30 SEP '26</t>
  </si>
  <si>
    <t>30 SEP '27</t>
  </si>
  <si>
    <t>30 SEP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</si>
</sst>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76" formatCode="#,##0.0"/>
    <numFmt numFmtId="177" formatCode="0.0%_);\(0.0%\);0.0%_);@_)"/>
    <numFmt numFmtId="178" formatCode="0.00%_);\(0.00%\);0.00%_);@_)"/>
    <numFmt numFmtId="179" formatCode="#,##0.00_ "/>
    <numFmt numFmtId="180" formatCode="_ * #,##0.000_ ;_ * \-#,##0.000_ ;_ * &quot;-&quot;??_ ;_ @_ "/>
    <numFmt numFmtId="181" formatCode="0.00_ "/>
    <numFmt numFmtId="182" formatCode="0.000"/>
    <numFmt numFmtId="183" formatCode="0.0"/>
    <numFmt numFmtId="184" formatCode=".0\x"/>
    <numFmt numFmtId="185" formatCode="0.0\x"/>
    <numFmt numFmtId="186" formatCode="0.0%"/>
    <numFmt numFmtId="187" formatCode="\$#,##0.0_);[Red]\(\$#,##0.0\)"/>
    <numFmt numFmtId="188" formatCode="&quot;$&quot;#,##0.0"/>
    <numFmt numFmtId="189" formatCode="#\ ???/???"/>
  </numFmts>
  <fonts count="23">
    <font>
      <sz val="10"/>
      <color theme="1"/>
      <name val="Arial"/>
      <family val="2"/>
    </font>
    <font>
      <b/>
      <sz val="10"/>
      <color theme="1"/>
      <name val="Arial"/>
      <family val="2"/>
    </font>
    <font>
      <u/>
      <sz val="10"/>
      <color rgb="FF0000FF"/>
      <name val="Arial"/>
      <family val="2"/>
    </font>
    <font>
      <sz val="10"/>
      <color theme="1"/>
      <name val="Arial"/>
      <family val="2"/>
    </font>
    <font>
      <sz val="10"/>
      <name val="Arial"/>
      <family val="2"/>
    </font>
    <font>
      <sz val="9"/>
      <name val="DengXian"/>
      <family val="3"/>
      <charset val="134"/>
    </font>
    <font>
      <b/>
      <sz val="10"/>
      <name val="Arial"/>
      <family val="2"/>
    </font>
    <font>
      <sz val="9"/>
      <color theme="1"/>
      <name val="Arial"/>
      <family val="2"/>
    </font>
    <font>
      <sz val="9"/>
      <name val="宋体"/>
      <family val="3"/>
      <charset val="134"/>
    </font>
    <font>
      <sz val="9"/>
      <name val="Arial"/>
      <family val="2"/>
    </font>
    <font>
      <b/>
      <sz val="10"/>
      <color theme="8" tint="-0.499984740745262"/>
      <name val="Arial"/>
      <family val="2"/>
    </font>
    <font>
      <sz val="10"/>
      <color theme="8" tint="-0.499984740745262"/>
      <name val="Arial"/>
      <family val="2"/>
    </font>
    <font>
      <sz val="9"/>
      <color theme="8" tint="-0.499984740745262"/>
      <name val="Arial"/>
      <family val="2"/>
    </font>
    <font>
      <sz val="9"/>
      <color rgb="FF004E9A"/>
      <name val="Arial"/>
      <family val="2"/>
    </font>
    <font>
      <b/>
      <sz val="10"/>
      <color theme="0"/>
      <name val="Arial"/>
      <family val="2"/>
    </font>
    <font>
      <b/>
      <sz val="9"/>
      <color indexed="81"/>
      <name val="Tahoma"/>
      <family val="2"/>
    </font>
    <font>
      <sz val="10"/>
      <color theme="4" tint="-0.249977111117893"/>
      <name val="Arial"/>
      <family val="2"/>
    </font>
    <font>
      <b/>
      <sz val="16"/>
      <name val="等线"/>
      <family val="2"/>
      <scheme val="minor"/>
    </font>
    <font>
      <b/>
      <sz val="14"/>
      <name val="等线"/>
      <family val="2"/>
      <scheme val="minor"/>
    </font>
    <font>
      <sz val="14"/>
      <name val="等线"/>
      <family val="2"/>
      <scheme val="minor"/>
    </font>
    <font>
      <b/>
      <u/>
      <sz val="14"/>
      <name val="等线"/>
      <family val="2"/>
      <scheme val="minor"/>
    </font>
    <font>
      <sz val="12"/>
      <name val="等线"/>
      <family val="2"/>
      <scheme val="minor"/>
    </font>
    <font>
      <i/>
      <sz val="10"/>
      <name val="Arial"/>
      <family val="2"/>
    </font>
  </fonts>
  <fills count="13">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7" tint="0.59999389629810485"/>
        <bgColor indexed="64"/>
      </patternFill>
    </fill>
  </fills>
  <borders count="5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43" fontId="3" fillId="0" borderId="0" applyFont="0" applyFill="0" applyBorder="0" applyAlignment="0" applyProtection="0"/>
    <xf numFmtId="0" fontId="2" fillId="0" borderId="0"/>
    <xf numFmtId="0" fontId="3" fillId="0" borderId="0"/>
  </cellStyleXfs>
  <cellXfs count="349">
    <xf numFmtId="0" fontId="0" fillId="0" borderId="0" xfId="0"/>
    <xf numFmtId="0" fontId="0" fillId="0" borderId="0" xfId="0" applyAlignment="1">
      <alignment horizontal="left"/>
    </xf>
    <xf numFmtId="0" fontId="0" fillId="0" borderId="0" xfId="0" applyAlignment="1">
      <alignment horizontal="left" indent="1"/>
    </xf>
    <xf numFmtId="0" fontId="4" fillId="0" borderId="0" xfId="0" applyFont="1"/>
    <xf numFmtId="0" fontId="6" fillId="0" borderId="0" xfId="0" applyFont="1"/>
    <xf numFmtId="0" fontId="6" fillId="2" borderId="1" xfId="0" applyFont="1" applyFill="1" applyBorder="1"/>
    <xf numFmtId="0" fontId="0" fillId="2" borderId="1" xfId="0" applyFill="1" applyBorder="1"/>
    <xf numFmtId="0" fontId="6" fillId="0" borderId="2" xfId="0" applyFont="1" applyBorder="1"/>
    <xf numFmtId="176" fontId="4" fillId="0" borderId="3" xfId="2" applyNumberFormat="1" applyFont="1" applyBorder="1"/>
    <xf numFmtId="0" fontId="1" fillId="0" borderId="3" xfId="0" applyFont="1" applyBorder="1"/>
    <xf numFmtId="176" fontId="4" fillId="0" borderId="0" xfId="2" applyNumberFormat="1" applyFont="1"/>
    <xf numFmtId="0" fontId="1" fillId="0" borderId="0" xfId="0" applyFont="1"/>
    <xf numFmtId="0" fontId="0" fillId="0" borderId="3" xfId="0" applyBorder="1"/>
    <xf numFmtId="178" fontId="4" fillId="0" borderId="0" xfId="2" applyNumberFormat="1" applyFont="1"/>
    <xf numFmtId="4" fontId="4" fillId="0" borderId="0" xfId="2" applyNumberFormat="1" applyFont="1"/>
    <xf numFmtId="4" fontId="4" fillId="0" borderId="0" xfId="0" applyNumberFormat="1" applyFont="1"/>
    <xf numFmtId="43" fontId="7" fillId="0" borderId="0" xfId="1" applyFont="1" applyFill="1" applyAlignment="1"/>
    <xf numFmtId="43" fontId="7" fillId="0" borderId="0" xfId="1" applyFont="1" applyFill="1" applyAlignment="1">
      <alignment horizontal="left"/>
    </xf>
    <xf numFmtId="43" fontId="3" fillId="0" borderId="0" xfId="1" applyFont="1" applyFill="1" applyAlignment="1">
      <alignment horizontal="left"/>
    </xf>
    <xf numFmtId="176" fontId="4" fillId="3" borderId="0" xfId="2" applyNumberFormat="1" applyFont="1" applyFill="1"/>
    <xf numFmtId="178" fontId="4" fillId="3" borderId="0" xfId="2" applyNumberFormat="1" applyFont="1" applyFill="1"/>
    <xf numFmtId="4" fontId="4" fillId="3" borderId="0" xfId="2" applyNumberFormat="1" applyFont="1" applyFill="1"/>
    <xf numFmtId="4" fontId="4" fillId="3" borderId="0" xfId="0" applyNumberFormat="1" applyFont="1" applyFill="1"/>
    <xf numFmtId="0" fontId="4" fillId="3" borderId="0" xfId="0" applyFont="1" applyFill="1"/>
    <xf numFmtId="0" fontId="0" fillId="3" borderId="0" xfId="0" applyFill="1"/>
    <xf numFmtId="0" fontId="6" fillId="3" borderId="0" xfId="0" applyFont="1" applyFill="1" applyAlignment="1">
      <alignment horizontal="center"/>
    </xf>
    <xf numFmtId="4" fontId="4" fillId="0" borderId="3" xfId="2" applyNumberFormat="1" applyFont="1" applyBorder="1"/>
    <xf numFmtId="4" fontId="4" fillId="3" borderId="3" xfId="2" applyNumberFormat="1" applyFont="1" applyFill="1" applyBorder="1"/>
    <xf numFmtId="4" fontId="0" fillId="0" borderId="0" xfId="0" applyNumberFormat="1"/>
    <xf numFmtId="177" fontId="4" fillId="0" borderId="0" xfId="2" applyNumberFormat="1" applyFont="1"/>
    <xf numFmtId="177" fontId="4" fillId="0" borderId="0" xfId="0" applyNumberFormat="1" applyFont="1"/>
    <xf numFmtId="177" fontId="4" fillId="3" borderId="0" xfId="2" applyNumberFormat="1" applyFont="1" applyFill="1"/>
    <xf numFmtId="177" fontId="1" fillId="0" borderId="0" xfId="0" applyNumberFormat="1" applyFont="1"/>
    <xf numFmtId="178" fontId="4" fillId="0" borderId="0" xfId="0" applyNumberFormat="1" applyFont="1"/>
    <xf numFmtId="0" fontId="9" fillId="0" borderId="0" xfId="0" applyFont="1"/>
    <xf numFmtId="0" fontId="7" fillId="0" borderId="0" xfId="0" applyFont="1"/>
    <xf numFmtId="4" fontId="9" fillId="0" borderId="0" xfId="2" applyNumberFormat="1" applyFont="1"/>
    <xf numFmtId="4" fontId="9" fillId="3" borderId="0" xfId="2" applyNumberFormat="1" applyFont="1" applyFill="1"/>
    <xf numFmtId="176" fontId="9" fillId="0" borderId="0" xfId="2" applyNumberFormat="1" applyFont="1"/>
    <xf numFmtId="180" fontId="3" fillId="0" borderId="0" xfId="1" applyNumberFormat="1" applyFont="1" applyFill="1" applyAlignment="1"/>
    <xf numFmtId="178" fontId="4" fillId="0" borderId="3" xfId="2" applyNumberFormat="1" applyFont="1" applyBorder="1"/>
    <xf numFmtId="43" fontId="4" fillId="0" borderId="3" xfId="1" applyFont="1" applyFill="1" applyBorder="1" applyAlignment="1"/>
    <xf numFmtId="43" fontId="4" fillId="0" borderId="3" xfId="2" applyNumberFormat="1" applyFont="1" applyBorder="1"/>
    <xf numFmtId="43" fontId="3" fillId="0" borderId="0" xfId="1" applyFont="1" applyFill="1" applyAlignment="1"/>
    <xf numFmtId="178" fontId="9" fillId="0" borderId="0" xfId="2" applyNumberFormat="1" applyFont="1"/>
    <xf numFmtId="179" fontId="0" fillId="0" borderId="0" xfId="0" applyNumberFormat="1"/>
    <xf numFmtId="2" fontId="4" fillId="0" borderId="0" xfId="0" applyNumberFormat="1" applyFont="1"/>
    <xf numFmtId="2" fontId="4" fillId="3" borderId="0" xfId="0" applyNumberFormat="1" applyFont="1" applyFill="1"/>
    <xf numFmtId="0" fontId="4" fillId="0" borderId="2" xfId="0" applyFont="1" applyBorder="1"/>
    <xf numFmtId="43" fontId="4" fillId="3" borderId="3" xfId="1" applyFont="1" applyFill="1" applyBorder="1" applyAlignment="1"/>
    <xf numFmtId="178" fontId="9" fillId="3" borderId="0" xfId="2" applyNumberFormat="1" applyFont="1" applyFill="1"/>
    <xf numFmtId="178" fontId="4" fillId="3" borderId="0" xfId="0" applyNumberFormat="1" applyFont="1" applyFill="1"/>
    <xf numFmtId="2" fontId="0" fillId="0" borderId="0" xfId="0" applyNumberFormat="1"/>
    <xf numFmtId="0" fontId="0" fillId="2" borderId="0" xfId="0" applyFill="1"/>
    <xf numFmtId="0" fontId="1" fillId="2" borderId="0" xfId="0" applyFont="1" applyFill="1"/>
    <xf numFmtId="2" fontId="0" fillId="0" borderId="3" xfId="0" applyNumberFormat="1" applyBorder="1"/>
    <xf numFmtId="178" fontId="0" fillId="0" borderId="0" xfId="0" applyNumberFormat="1"/>
    <xf numFmtId="176" fontId="0" fillId="0" borderId="0" xfId="2" applyNumberFormat="1" applyFont="1" applyAlignment="1">
      <alignment horizontal="right"/>
    </xf>
    <xf numFmtId="0" fontId="0" fillId="0" borderId="0" xfId="0" applyAlignment="1">
      <alignment horizontal="left" indent="7"/>
    </xf>
    <xf numFmtId="176" fontId="0" fillId="0" borderId="0" xfId="0" applyNumberFormat="1" applyAlignment="1">
      <alignment horizontal="right"/>
    </xf>
    <xf numFmtId="0" fontId="0" fillId="0" borderId="0" xfId="0" applyAlignment="1">
      <alignment horizontal="left" indent="6"/>
    </xf>
    <xf numFmtId="0" fontId="0" fillId="0" borderId="0" xfId="0" applyAlignment="1">
      <alignment horizontal="left" indent="4"/>
    </xf>
    <xf numFmtId="0" fontId="0" fillId="0" borderId="0" xfId="0" applyAlignment="1">
      <alignment horizontal="left" indent="3"/>
    </xf>
    <xf numFmtId="2" fontId="0" fillId="3" borderId="0" xfId="0" applyNumberFormat="1" applyFill="1"/>
    <xf numFmtId="0" fontId="0" fillId="4" borderId="0" xfId="0" applyFill="1"/>
    <xf numFmtId="0" fontId="1" fillId="4" borderId="0" xfId="0" applyFont="1" applyFill="1"/>
    <xf numFmtId="176" fontId="0" fillId="0" borderId="0" xfId="0" applyNumberFormat="1"/>
    <xf numFmtId="43" fontId="0" fillId="0" borderId="0" xfId="1" applyFont="1"/>
    <xf numFmtId="43" fontId="0" fillId="0" borderId="0" xfId="0" applyNumberFormat="1"/>
    <xf numFmtId="0" fontId="1" fillId="0" borderId="2" xfId="0" applyFont="1" applyBorder="1"/>
    <xf numFmtId="0" fontId="0" fillId="3" borderId="3" xfId="0" applyFill="1" applyBorder="1"/>
    <xf numFmtId="2" fontId="0" fillId="3" borderId="3" xfId="0" applyNumberFormat="1" applyFill="1" applyBorder="1"/>
    <xf numFmtId="0" fontId="1" fillId="0" borderId="4" xfId="0" applyFont="1" applyBorder="1"/>
    <xf numFmtId="0" fontId="0" fillId="0" borderId="1" xfId="0" applyBorder="1"/>
    <xf numFmtId="178" fontId="0" fillId="0" borderId="3" xfId="0" applyNumberFormat="1" applyBorder="1"/>
    <xf numFmtId="178" fontId="0" fillId="0" borderId="1" xfId="0" applyNumberFormat="1" applyBorder="1"/>
    <xf numFmtId="4" fontId="0" fillId="3" borderId="0" xfId="0" applyNumberFormat="1" applyFill="1"/>
    <xf numFmtId="179" fontId="0" fillId="3" borderId="0" xfId="0" applyNumberFormat="1" applyFill="1"/>
    <xf numFmtId="176" fontId="0" fillId="3" borderId="0" xfId="0" applyNumberFormat="1" applyFill="1"/>
    <xf numFmtId="178" fontId="0" fillId="3" borderId="0" xfId="0" applyNumberFormat="1" applyFill="1"/>
    <xf numFmtId="178" fontId="0" fillId="3" borderId="3" xfId="0" applyNumberFormat="1" applyFill="1" applyBorder="1"/>
    <xf numFmtId="178" fontId="0" fillId="3" borderId="1" xfId="0" applyNumberFormat="1" applyFill="1" applyBorder="1"/>
    <xf numFmtId="0" fontId="4" fillId="0" borderId="0" xfId="0" applyFont="1" applyAlignment="1">
      <alignment horizontal="left"/>
    </xf>
    <xf numFmtId="0" fontId="4" fillId="0" borderId="0" xfId="0" applyFont="1" applyAlignment="1">
      <alignment horizontal="left" indent="4"/>
    </xf>
    <xf numFmtId="0" fontId="4" fillId="0" borderId="0" xfId="0" applyFont="1" applyAlignment="1">
      <alignment horizontal="left" indent="3"/>
    </xf>
    <xf numFmtId="0" fontId="4" fillId="0" borderId="0" xfId="0" applyFont="1" applyAlignment="1">
      <alignment horizontal="left" indent="1"/>
    </xf>
    <xf numFmtId="0" fontId="4" fillId="0" borderId="0" xfId="0" applyFont="1" applyAlignment="1">
      <alignment horizontal="left" indent="7"/>
    </xf>
    <xf numFmtId="0" fontId="4" fillId="0" borderId="0" xfId="0" applyFont="1" applyAlignment="1">
      <alignment horizontal="left" indent="6"/>
    </xf>
    <xf numFmtId="0" fontId="6" fillId="0" borderId="1" xfId="0" applyFont="1" applyBorder="1"/>
    <xf numFmtId="0" fontId="6" fillId="3" borderId="1" xfId="0" applyFont="1" applyFill="1" applyBorder="1"/>
    <xf numFmtId="176" fontId="4" fillId="0" borderId="0" xfId="2" applyNumberFormat="1" applyFont="1" applyAlignment="1">
      <alignment horizontal="right"/>
    </xf>
    <xf numFmtId="4" fontId="4" fillId="0" borderId="0" xfId="0" applyNumberFormat="1" applyFont="1" applyAlignment="1">
      <alignment horizontal="right"/>
    </xf>
    <xf numFmtId="179" fontId="0" fillId="0" borderId="3" xfId="0" applyNumberFormat="1" applyBorder="1"/>
    <xf numFmtId="179" fontId="0" fillId="3" borderId="3" xfId="0" applyNumberFormat="1" applyFill="1" applyBorder="1"/>
    <xf numFmtId="0" fontId="10" fillId="3" borderId="0" xfId="0" applyFont="1" applyFill="1" applyAlignment="1">
      <alignment horizontal="center"/>
    </xf>
    <xf numFmtId="0" fontId="10" fillId="0" borderId="0" xfId="0" applyFont="1" applyAlignment="1">
      <alignment horizontal="center"/>
    </xf>
    <xf numFmtId="0" fontId="11" fillId="2" borderId="1" xfId="0" applyFont="1" applyFill="1" applyBorder="1"/>
    <xf numFmtId="0" fontId="11" fillId="3" borderId="1" xfId="0" applyFont="1" applyFill="1" applyBorder="1"/>
    <xf numFmtId="0" fontId="11" fillId="0" borderId="1" xfId="0" applyFont="1" applyBorder="1"/>
    <xf numFmtId="4" fontId="11" fillId="3" borderId="3" xfId="0" applyNumberFormat="1" applyFont="1" applyFill="1" applyBorder="1"/>
    <xf numFmtId="0" fontId="11" fillId="0" borderId="3" xfId="0" applyFont="1" applyBorder="1"/>
    <xf numFmtId="178" fontId="11" fillId="3" borderId="0" xfId="0" applyNumberFormat="1" applyFont="1" applyFill="1"/>
    <xf numFmtId="4" fontId="11" fillId="3" borderId="0" xfId="0" applyNumberFormat="1" applyFont="1" applyFill="1"/>
    <xf numFmtId="0" fontId="11" fillId="0" borderId="0" xfId="0" applyFont="1"/>
    <xf numFmtId="2" fontId="11" fillId="0" borderId="0" xfId="0" applyNumberFormat="1" applyFont="1"/>
    <xf numFmtId="4" fontId="11" fillId="0" borderId="0" xfId="0" applyNumberFormat="1" applyFont="1"/>
    <xf numFmtId="178" fontId="11" fillId="0" borderId="0" xfId="0" applyNumberFormat="1" applyFont="1"/>
    <xf numFmtId="4" fontId="12" fillId="3" borderId="0" xfId="0" applyNumberFormat="1" applyFont="1" applyFill="1"/>
    <xf numFmtId="0" fontId="12" fillId="0" borderId="0" xfId="0" applyFont="1"/>
    <xf numFmtId="0" fontId="11" fillId="3" borderId="3" xfId="0" applyFont="1" applyFill="1" applyBorder="1"/>
    <xf numFmtId="0" fontId="11" fillId="3" borderId="0" xfId="0" applyFont="1" applyFill="1"/>
    <xf numFmtId="0" fontId="12" fillId="3" borderId="0" xfId="0" applyFont="1" applyFill="1"/>
    <xf numFmtId="0" fontId="11" fillId="2" borderId="0" xfId="0" applyFont="1" applyFill="1"/>
    <xf numFmtId="0" fontId="11" fillId="4" borderId="0" xfId="0" applyFont="1" applyFill="1"/>
    <xf numFmtId="2" fontId="11" fillId="3" borderId="0" xfId="0" applyNumberFormat="1" applyFont="1" applyFill="1"/>
    <xf numFmtId="181" fontId="11" fillId="3" borderId="0" xfId="0" applyNumberFormat="1" applyFont="1" applyFill="1"/>
    <xf numFmtId="43" fontId="9" fillId="0" borderId="0" xfId="1" applyFont="1"/>
    <xf numFmtId="43" fontId="9" fillId="3" borderId="0" xfId="1" applyFont="1" applyFill="1"/>
    <xf numFmtId="43" fontId="9" fillId="0" borderId="0" xfId="2" applyNumberFormat="1" applyFont="1"/>
    <xf numFmtId="43" fontId="9" fillId="3" borderId="0" xfId="2" applyNumberFormat="1" applyFont="1" applyFill="1"/>
    <xf numFmtId="43" fontId="4" fillId="0" borderId="0" xfId="2" applyNumberFormat="1" applyFont="1"/>
    <xf numFmtId="43" fontId="4" fillId="3" borderId="0" xfId="2" applyNumberFormat="1" applyFont="1" applyFill="1"/>
    <xf numFmtId="178" fontId="12" fillId="3" borderId="0" xfId="0" applyNumberFormat="1" applyFont="1" applyFill="1"/>
    <xf numFmtId="178" fontId="12" fillId="0" borderId="0" xfId="0" applyNumberFormat="1" applyFont="1"/>
    <xf numFmtId="2" fontId="12" fillId="3" borderId="0" xfId="0" applyNumberFormat="1" applyFont="1" applyFill="1"/>
    <xf numFmtId="43" fontId="11" fillId="3" borderId="3" xfId="1" applyFont="1" applyFill="1" applyBorder="1"/>
    <xf numFmtId="10" fontId="12" fillId="3" borderId="0" xfId="0" applyNumberFormat="1" applyFont="1" applyFill="1"/>
    <xf numFmtId="43" fontId="4" fillId="0" borderId="0" xfId="1" applyFont="1"/>
    <xf numFmtId="0" fontId="3" fillId="0" borderId="0" xfId="0" applyFont="1"/>
    <xf numFmtId="43" fontId="11" fillId="3" borderId="0" xfId="1" applyFont="1" applyFill="1"/>
    <xf numFmtId="43" fontId="11" fillId="0" borderId="0" xfId="1" applyFont="1"/>
    <xf numFmtId="10" fontId="12" fillId="0" borderId="0" xfId="0" applyNumberFormat="1" applyFont="1"/>
    <xf numFmtId="2" fontId="12" fillId="0" borderId="0" xfId="0" applyNumberFormat="1" applyFont="1"/>
    <xf numFmtId="181" fontId="12" fillId="3" borderId="0" xfId="0" applyNumberFormat="1" applyFont="1" applyFill="1"/>
    <xf numFmtId="10" fontId="11" fillId="3" borderId="0" xfId="0" applyNumberFormat="1" applyFont="1" applyFill="1"/>
    <xf numFmtId="43" fontId="11" fillId="3" borderId="3" xfId="0" applyNumberFormat="1" applyFont="1" applyFill="1" applyBorder="1"/>
    <xf numFmtId="4" fontId="11" fillId="0" borderId="3" xfId="0" applyNumberFormat="1" applyFont="1" applyBorder="1"/>
    <xf numFmtId="10" fontId="11" fillId="0" borderId="0" xfId="0" applyNumberFormat="1" applyFont="1"/>
    <xf numFmtId="181" fontId="11" fillId="0" borderId="3" xfId="0" applyNumberFormat="1" applyFont="1" applyBorder="1"/>
    <xf numFmtId="43" fontId="12" fillId="3" borderId="0" xfId="1" applyFont="1" applyFill="1"/>
    <xf numFmtId="178" fontId="13" fillId="0" borderId="0" xfId="0" applyNumberFormat="1" applyFont="1"/>
    <xf numFmtId="43" fontId="12" fillId="0" borderId="0" xfId="1" applyFont="1"/>
    <xf numFmtId="43" fontId="11" fillId="0" borderId="3" xfId="0" applyNumberFormat="1" applyFont="1" applyBorder="1"/>
    <xf numFmtId="181" fontId="12" fillId="0" borderId="0" xfId="0" applyNumberFormat="1" applyFont="1"/>
    <xf numFmtId="43" fontId="11" fillId="0" borderId="0" xfId="0" applyNumberFormat="1" applyFont="1"/>
    <xf numFmtId="0" fontId="0" fillId="0" borderId="5" xfId="0" applyBorder="1"/>
    <xf numFmtId="0" fontId="1" fillId="5" borderId="6" xfId="0" applyFont="1" applyFill="1" applyBorder="1" applyAlignment="1">
      <alignment horizontal="right"/>
    </xf>
    <xf numFmtId="0" fontId="1" fillId="0" borderId="5" xfId="0" applyFont="1" applyBorder="1" applyAlignment="1">
      <alignment horizontal="center"/>
    </xf>
    <xf numFmtId="0" fontId="1" fillId="0" borderId="8" xfId="0" applyFont="1" applyBorder="1" applyAlignment="1">
      <alignment horizontal="center"/>
    </xf>
    <xf numFmtId="0" fontId="0" fillId="0" borderId="4" xfId="0" applyBorder="1"/>
    <xf numFmtId="0" fontId="0" fillId="5" borderId="6" xfId="0" applyFill="1" applyBorder="1" applyAlignment="1">
      <alignment horizontal="right"/>
    </xf>
    <xf numFmtId="0" fontId="0" fillId="4" borderId="2" xfId="0" applyFill="1" applyBorder="1" applyAlignment="1">
      <alignment horizontal="center"/>
    </xf>
    <xf numFmtId="0" fontId="0" fillId="4" borderId="3" xfId="0" applyFill="1" applyBorder="1" applyAlignment="1">
      <alignment horizontal="center"/>
    </xf>
    <xf numFmtId="0" fontId="0" fillId="4" borderId="9" xfId="0" applyFill="1" applyBorder="1" applyAlignment="1">
      <alignment horizontal="center"/>
    </xf>
    <xf numFmtId="10" fontId="0" fillId="0" borderId="10" xfId="0" applyNumberFormat="1" applyBorder="1"/>
    <xf numFmtId="2" fontId="0" fillId="0" borderId="7" xfId="0" applyNumberFormat="1" applyBorder="1" applyAlignment="1">
      <alignment horizontal="right"/>
    </xf>
    <xf numFmtId="2" fontId="4" fillId="0" borderId="7" xfId="0" applyNumberFormat="1" applyFont="1" applyBorder="1" applyAlignment="1">
      <alignment horizontal="right"/>
    </xf>
    <xf numFmtId="2" fontId="11" fillId="0" borderId="7" xfId="0" applyNumberFormat="1" applyFont="1" applyBorder="1" applyAlignment="1">
      <alignment horizontal="right"/>
    </xf>
    <xf numFmtId="2" fontId="11" fillId="0" borderId="8" xfId="0" applyNumberFormat="1" applyFont="1" applyBorder="1" applyAlignment="1">
      <alignment horizontal="right"/>
    </xf>
    <xf numFmtId="10" fontId="0" fillId="0" borderId="11" xfId="0" applyNumberFormat="1" applyBorder="1"/>
    <xf numFmtId="43" fontId="3" fillId="0" borderId="8" xfId="1" applyFont="1" applyBorder="1" applyAlignment="1"/>
    <xf numFmtId="10" fontId="0" fillId="0" borderId="1" xfId="0" applyNumberFormat="1" applyBorder="1" applyAlignment="1">
      <alignment horizontal="right"/>
    </xf>
    <xf numFmtId="0" fontId="0" fillId="0" borderId="13" xfId="0" applyBorder="1"/>
    <xf numFmtId="2" fontId="3" fillId="0" borderId="14" xfId="0" applyNumberFormat="1" applyFont="1" applyBorder="1"/>
    <xf numFmtId="43" fontId="3" fillId="0" borderId="14" xfId="1" applyFont="1" applyFill="1" applyBorder="1" applyAlignment="1">
      <alignment horizontal="right"/>
    </xf>
    <xf numFmtId="2" fontId="0" fillId="0" borderId="7" xfId="0" applyNumberFormat="1" applyBorder="1"/>
    <xf numFmtId="2" fontId="0" fillId="0" borderId="8" xfId="0" applyNumberFormat="1" applyBorder="1"/>
    <xf numFmtId="10" fontId="0" fillId="0" borderId="1" xfId="0" applyNumberFormat="1" applyBorder="1"/>
    <xf numFmtId="0" fontId="0" fillId="5" borderId="5" xfId="0" applyFill="1" applyBorder="1"/>
    <xf numFmtId="2" fontId="0" fillId="5" borderId="7" xfId="0" applyNumberFormat="1" applyFill="1" applyBorder="1"/>
    <xf numFmtId="2" fontId="11" fillId="5" borderId="7" xfId="0" applyNumberFormat="1" applyFont="1" applyFill="1" applyBorder="1"/>
    <xf numFmtId="2" fontId="11" fillId="5" borderId="8" xfId="0" applyNumberFormat="1" applyFont="1" applyFill="1" applyBorder="1"/>
    <xf numFmtId="43" fontId="3" fillId="0" borderId="12" xfId="1" applyFont="1" applyBorder="1" applyAlignment="1"/>
    <xf numFmtId="0" fontId="0" fillId="5" borderId="4" xfId="0" applyFill="1" applyBorder="1"/>
    <xf numFmtId="10" fontId="0" fillId="5" borderId="1" xfId="0" applyNumberFormat="1" applyFill="1" applyBorder="1"/>
    <xf numFmtId="10" fontId="0" fillId="0" borderId="12" xfId="0" applyNumberFormat="1" applyBorder="1"/>
    <xf numFmtId="0" fontId="0" fillId="0" borderId="2" xfId="0" applyBorder="1"/>
    <xf numFmtId="10" fontId="0" fillId="0" borderId="3" xfId="0" applyNumberFormat="1" applyBorder="1"/>
    <xf numFmtId="0" fontId="0" fillId="4" borderId="2" xfId="0" applyFill="1" applyBorder="1"/>
    <xf numFmtId="184" fontId="0" fillId="0" borderId="7" xfId="0" applyNumberFormat="1" applyBorder="1"/>
    <xf numFmtId="184" fontId="0" fillId="0" borderId="8" xfId="0" applyNumberFormat="1" applyBorder="1"/>
    <xf numFmtId="185" fontId="0" fillId="0" borderId="0" xfId="0" applyNumberFormat="1"/>
    <xf numFmtId="185" fontId="0" fillId="0" borderId="14" xfId="0" applyNumberFormat="1" applyBorder="1"/>
    <xf numFmtId="0" fontId="0" fillId="0" borderId="14" xfId="0" applyBorder="1"/>
    <xf numFmtId="2" fontId="0" fillId="0" borderId="14" xfId="0" applyNumberFormat="1" applyBorder="1"/>
    <xf numFmtId="185" fontId="0" fillId="0" borderId="1" xfId="0" applyNumberFormat="1" applyBorder="1"/>
    <xf numFmtId="0" fontId="0" fillId="4" borderId="3" xfId="0" applyFill="1" applyBorder="1"/>
    <xf numFmtId="0" fontId="0" fillId="4" borderId="9" xfId="0" applyFill="1" applyBorder="1"/>
    <xf numFmtId="0" fontId="0" fillId="0" borderId="7" xfId="0" applyBorder="1" applyAlignment="1">
      <alignment horizontal="right"/>
    </xf>
    <xf numFmtId="0" fontId="0" fillId="0" borderId="7" xfId="0" applyBorder="1"/>
    <xf numFmtId="0" fontId="0" fillId="0" borderId="8" xfId="0" applyBorder="1"/>
    <xf numFmtId="0" fontId="0" fillId="0" borderId="12" xfId="0" applyBorder="1"/>
    <xf numFmtId="10" fontId="0" fillId="0" borderId="14" xfId="0" applyNumberFormat="1" applyBorder="1"/>
    <xf numFmtId="10" fontId="0" fillId="0" borderId="15" xfId="0" applyNumberFormat="1" applyBorder="1"/>
    <xf numFmtId="10" fontId="13" fillId="0" borderId="0" xfId="0" applyNumberFormat="1" applyFont="1"/>
    <xf numFmtId="43" fontId="11" fillId="3" borderId="0" xfId="0" applyNumberFormat="1" applyFont="1" applyFill="1"/>
    <xf numFmtId="185" fontId="0" fillId="0" borderId="0" xfId="0" applyNumberFormat="1" applyAlignment="1">
      <alignment horizontal="right"/>
    </xf>
    <xf numFmtId="181" fontId="11" fillId="0" borderId="0" xfId="0" applyNumberFormat="1" applyFont="1"/>
    <xf numFmtId="2" fontId="11" fillId="3" borderId="3" xfId="0" applyNumberFormat="1" applyFont="1" applyFill="1" applyBorder="1"/>
    <xf numFmtId="2" fontId="11" fillId="0" borderId="3" xfId="0" applyNumberFormat="1" applyFont="1" applyBorder="1"/>
    <xf numFmtId="10" fontId="16" fillId="0" borderId="1" xfId="0" applyNumberFormat="1" applyFont="1" applyBorder="1" applyAlignment="1">
      <alignment horizontal="right"/>
    </xf>
    <xf numFmtId="10" fontId="16" fillId="0" borderId="12" xfId="0" applyNumberFormat="1" applyFont="1" applyBorder="1" applyAlignment="1">
      <alignment horizontal="right"/>
    </xf>
    <xf numFmtId="2" fontId="16" fillId="0" borderId="7" xfId="0" applyNumberFormat="1" applyFont="1" applyBorder="1"/>
    <xf numFmtId="2" fontId="16" fillId="0" borderId="8" xfId="0" applyNumberFormat="1" applyFont="1" applyBorder="1"/>
    <xf numFmtId="10" fontId="16" fillId="0" borderId="1" xfId="0" applyNumberFormat="1" applyFont="1" applyBorder="1"/>
    <xf numFmtId="10" fontId="16" fillId="0" borderId="12" xfId="0" applyNumberFormat="1" applyFont="1" applyBorder="1"/>
    <xf numFmtId="10" fontId="16" fillId="5" borderId="1" xfId="0" applyNumberFormat="1" applyFont="1" applyFill="1" applyBorder="1"/>
    <xf numFmtId="10" fontId="16" fillId="5" borderId="12" xfId="0" applyNumberFormat="1" applyFont="1" applyFill="1" applyBorder="1"/>
    <xf numFmtId="2" fontId="16" fillId="0" borderId="7" xfId="0" applyNumberFormat="1" applyFont="1" applyBorder="1" applyAlignment="1">
      <alignment horizontal="right"/>
    </xf>
    <xf numFmtId="2" fontId="16" fillId="0" borderId="8" xfId="0" applyNumberFormat="1" applyFont="1" applyBorder="1" applyAlignment="1">
      <alignment horizontal="right"/>
    </xf>
    <xf numFmtId="10" fontId="16" fillId="0" borderId="3" xfId="0" applyNumberFormat="1" applyFont="1" applyBorder="1"/>
    <xf numFmtId="2" fontId="16" fillId="0" borderId="9" xfId="0" applyNumberFormat="1" applyFont="1" applyBorder="1" applyAlignment="1">
      <alignment horizontal="right"/>
    </xf>
    <xf numFmtId="185" fontId="0" fillId="0" borderId="12" xfId="0" applyNumberFormat="1" applyBorder="1"/>
    <xf numFmtId="187" fontId="1" fillId="5" borderId="6" xfId="0" applyNumberFormat="1" applyFont="1" applyFill="1" applyBorder="1" applyAlignment="1">
      <alignment horizontal="right"/>
    </xf>
    <xf numFmtId="0" fontId="1" fillId="0" borderId="6" xfId="0" applyFont="1" applyBorder="1" applyAlignment="1">
      <alignment horizontal="center"/>
    </xf>
    <xf numFmtId="10" fontId="0" fillId="0" borderId="5" xfId="0" applyNumberFormat="1" applyBorder="1"/>
    <xf numFmtId="10" fontId="0" fillId="0" borderId="13" xfId="0" applyNumberFormat="1" applyBorder="1"/>
    <xf numFmtId="10" fontId="0" fillId="0" borderId="4" xfId="0" applyNumberFormat="1" applyBorder="1"/>
    <xf numFmtId="0" fontId="1" fillId="0" borderId="10" xfId="0" applyFont="1" applyBorder="1" applyAlignment="1">
      <alignment horizontal="center"/>
    </xf>
    <xf numFmtId="0" fontId="19" fillId="7" borderId="5" xfId="0" applyFont="1" applyFill="1" applyBorder="1" applyAlignment="1">
      <alignment horizontal="center" wrapText="1"/>
    </xf>
    <xf numFmtId="0" fontId="18" fillId="7" borderId="16" xfId="0" applyFont="1" applyFill="1" applyBorder="1" applyAlignment="1">
      <alignment horizontal="center" wrapText="1"/>
    </xf>
    <xf numFmtId="1" fontId="18" fillId="7" borderId="15" xfId="0" applyNumberFormat="1" applyFont="1" applyFill="1" applyBorder="1" applyAlignment="1">
      <alignment horizontal="center" vertical="center" wrapText="1"/>
    </xf>
    <xf numFmtId="0" fontId="18" fillId="7" borderId="21" xfId="0" applyFont="1" applyFill="1" applyBorder="1" applyAlignment="1">
      <alignment horizontal="center" vertical="center" wrapText="1"/>
    </xf>
    <xf numFmtId="1" fontId="18" fillId="7" borderId="22" xfId="0" applyNumberFormat="1" applyFont="1" applyFill="1" applyBorder="1" applyAlignment="1">
      <alignment horizontal="center" vertical="center" wrapText="1"/>
    </xf>
    <xf numFmtId="1" fontId="18" fillId="7" borderId="23" xfId="0" applyNumberFormat="1" applyFont="1" applyFill="1" applyBorder="1" applyAlignment="1">
      <alignment horizontal="center" vertical="center" wrapText="1"/>
    </xf>
    <xf numFmtId="1" fontId="18" fillId="7" borderId="24" xfId="0" applyNumberFormat="1" applyFont="1" applyFill="1" applyBorder="1" applyAlignment="1">
      <alignment horizontal="center" vertical="center" wrapText="1"/>
    </xf>
    <xf numFmtId="0" fontId="20" fillId="0" borderId="2" xfId="0" applyFont="1" applyBorder="1" applyAlignment="1">
      <alignment horizontal="center" vertical="center"/>
    </xf>
    <xf numFmtId="1" fontId="18" fillId="0" borderId="6" xfId="0" applyNumberFormat="1" applyFont="1" applyBorder="1" applyAlignment="1">
      <alignment horizontal="center" vertical="center"/>
    </xf>
    <xf numFmtId="1" fontId="18" fillId="0" borderId="25" xfId="0" applyNumberFormat="1" applyFont="1" applyBorder="1" applyAlignment="1">
      <alignment horizontal="center" vertical="center"/>
    </xf>
    <xf numFmtId="1" fontId="18" fillId="0" borderId="26" xfId="0" applyNumberFormat="1" applyFont="1" applyBorder="1" applyAlignment="1">
      <alignment horizontal="center" vertical="center"/>
    </xf>
    <xf numFmtId="1" fontId="18" fillId="0" borderId="3" xfId="0" applyNumberFormat="1" applyFont="1" applyBorder="1" applyAlignment="1">
      <alignment horizontal="center" vertical="center"/>
    </xf>
    <xf numFmtId="1" fontId="18" fillId="0" borderId="27" xfId="0" applyNumberFormat="1" applyFont="1" applyBorder="1" applyAlignment="1">
      <alignment horizontal="center" vertical="center"/>
    </xf>
    <xf numFmtId="1" fontId="18" fillId="0" borderId="2" xfId="0" applyNumberFormat="1" applyFont="1" applyBorder="1" applyAlignment="1">
      <alignment horizontal="center" vertical="center"/>
    </xf>
    <xf numFmtId="1" fontId="18" fillId="0" borderId="9" xfId="0" applyNumberFormat="1" applyFont="1" applyBorder="1" applyAlignment="1">
      <alignment horizontal="center" vertical="center"/>
    </xf>
    <xf numFmtId="1" fontId="18" fillId="0" borderId="28" xfId="0" applyNumberFormat="1" applyFont="1" applyBorder="1" applyAlignment="1">
      <alignment horizontal="center" vertical="center"/>
    </xf>
    <xf numFmtId="0" fontId="19" fillId="7" borderId="7" xfId="0" applyFont="1" applyFill="1" applyBorder="1" applyAlignment="1">
      <alignment horizontal="center" wrapText="1"/>
    </xf>
    <xf numFmtId="1" fontId="19" fillId="7" borderId="7" xfId="0" applyNumberFormat="1" applyFont="1" applyFill="1" applyBorder="1" applyAlignment="1">
      <alignment horizontal="center" wrapText="1"/>
    </xf>
    <xf numFmtId="0" fontId="19" fillId="7" borderId="3" xfId="0" applyFont="1" applyFill="1" applyBorder="1" applyAlignment="1">
      <alignment horizontal="center" wrapText="1"/>
    </xf>
    <xf numFmtId="0" fontId="19" fillId="7" borderId="8" xfId="0" applyFont="1" applyFill="1" applyBorder="1" applyAlignment="1">
      <alignment horizontal="center" wrapText="1"/>
    </xf>
    <xf numFmtId="0" fontId="20" fillId="0" borderId="10" xfId="0" applyFont="1" applyBorder="1" applyAlignment="1">
      <alignment horizontal="center" vertical="center"/>
    </xf>
    <xf numFmtId="0" fontId="18" fillId="0" borderId="33" xfId="0" applyFont="1" applyBorder="1" applyAlignment="1">
      <alignment horizontal="center" vertical="center" wrapText="1"/>
    </xf>
    <xf numFmtId="0" fontId="18" fillId="0" borderId="41" xfId="0" applyFont="1" applyBorder="1" applyAlignment="1">
      <alignment horizontal="center" vertical="center" wrapText="1"/>
    </xf>
    <xf numFmtId="0" fontId="20"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19" fillId="7" borderId="2" xfId="0" applyFont="1" applyFill="1" applyBorder="1" applyAlignment="1">
      <alignment horizontal="center" wrapText="1"/>
    </xf>
    <xf numFmtId="0" fontId="19" fillId="7" borderId="9" xfId="0" applyFont="1" applyFill="1" applyBorder="1" applyAlignment="1">
      <alignment horizontal="center" wrapText="1"/>
    </xf>
    <xf numFmtId="0" fontId="21" fillId="0" borderId="0" xfId="0" applyFont="1"/>
    <xf numFmtId="0" fontId="19" fillId="0" borderId="0" xfId="0" applyFont="1"/>
    <xf numFmtId="183" fontId="18" fillId="0" borderId="48" xfId="0" applyNumberFormat="1" applyFont="1" applyBorder="1" applyAlignment="1">
      <alignment horizontal="center" vertical="center"/>
    </xf>
    <xf numFmtId="183" fontId="18" fillId="0" borderId="49" xfId="0" applyNumberFormat="1" applyFont="1" applyBorder="1" applyAlignment="1">
      <alignment horizontal="center" vertical="center"/>
    </xf>
    <xf numFmtId="183" fontId="18" fillId="0" borderId="50" xfId="0" applyNumberFormat="1" applyFont="1" applyBorder="1" applyAlignment="1">
      <alignment horizontal="center" vertical="center" wrapText="1"/>
    </xf>
    <xf numFmtId="183" fontId="18" fillId="0" borderId="18" xfId="0" applyNumberFormat="1" applyFont="1" applyBorder="1" applyAlignment="1">
      <alignment horizontal="center" vertical="center"/>
    </xf>
    <xf numFmtId="183" fontId="18" fillId="0" borderId="17" xfId="0" applyNumberFormat="1" applyFont="1" applyBorder="1" applyAlignment="1">
      <alignment horizontal="center" vertical="center"/>
    </xf>
    <xf numFmtId="183" fontId="18" fillId="0" borderId="50" xfId="0" applyNumberFormat="1" applyFont="1" applyBorder="1" applyAlignment="1">
      <alignment horizontal="center" vertical="center"/>
    </xf>
    <xf numFmtId="183" fontId="18" fillId="0" borderId="19" xfId="0" applyNumberFormat="1" applyFont="1" applyBorder="1" applyAlignment="1">
      <alignment horizontal="center" vertical="center"/>
    </xf>
    <xf numFmtId="183" fontId="18" fillId="0" borderId="51" xfId="0" applyNumberFormat="1" applyFont="1" applyBorder="1" applyAlignment="1">
      <alignment horizontal="center" vertical="center"/>
    </xf>
    <xf numFmtId="183" fontId="18" fillId="0" borderId="34" xfId="0" applyNumberFormat="1" applyFont="1" applyBorder="1" applyAlignment="1">
      <alignment horizontal="center" vertical="center"/>
    </xf>
    <xf numFmtId="183" fontId="18" fillId="0" borderId="35" xfId="0" applyNumberFormat="1" applyFont="1" applyBorder="1" applyAlignment="1">
      <alignment horizontal="center" vertical="center"/>
    </xf>
    <xf numFmtId="183" fontId="18" fillId="0" borderId="36" xfId="0" applyNumberFormat="1" applyFont="1" applyBorder="1" applyAlignment="1">
      <alignment horizontal="center" vertical="center" wrapText="1"/>
    </xf>
    <xf numFmtId="183" fontId="18" fillId="0" borderId="37" xfId="0" applyNumberFormat="1" applyFont="1" applyBorder="1" applyAlignment="1">
      <alignment horizontal="center" vertical="center"/>
    </xf>
    <xf numFmtId="183" fontId="18" fillId="0" borderId="38" xfId="0" applyNumberFormat="1" applyFont="1" applyBorder="1" applyAlignment="1">
      <alignment horizontal="center" vertical="center"/>
    </xf>
    <xf numFmtId="183" fontId="18" fillId="0" borderId="36" xfId="0" applyNumberFormat="1" applyFont="1" applyBorder="1" applyAlignment="1">
      <alignment horizontal="center" vertical="center"/>
    </xf>
    <xf numFmtId="183" fontId="18" fillId="0" borderId="39" xfId="0" applyNumberFormat="1" applyFont="1" applyBorder="1" applyAlignment="1">
      <alignment horizontal="center" vertical="center"/>
    </xf>
    <xf numFmtId="183" fontId="18" fillId="0" borderId="40" xfId="0" applyNumberFormat="1" applyFont="1" applyBorder="1" applyAlignment="1">
      <alignment horizontal="center" vertical="center"/>
    </xf>
    <xf numFmtId="183" fontId="18" fillId="0" borderId="42" xfId="0" applyNumberFormat="1" applyFont="1" applyBorder="1" applyAlignment="1">
      <alignment horizontal="center" vertical="center"/>
    </xf>
    <xf numFmtId="183" fontId="18" fillId="0" borderId="43" xfId="0" applyNumberFormat="1" applyFont="1" applyBorder="1" applyAlignment="1">
      <alignment horizontal="center" vertical="center"/>
    </xf>
    <xf numFmtId="183" fontId="18" fillId="0" borderId="22" xfId="0" applyNumberFormat="1" applyFont="1" applyBorder="1" applyAlignment="1">
      <alignment horizontal="center" vertical="center" wrapText="1"/>
    </xf>
    <xf numFmtId="183" fontId="18" fillId="0" borderId="45" xfId="0" applyNumberFormat="1" applyFont="1" applyBorder="1" applyAlignment="1">
      <alignment horizontal="center" vertical="center"/>
    </xf>
    <xf numFmtId="183" fontId="18" fillId="0" borderId="20" xfId="0" applyNumberFormat="1" applyFont="1" applyBorder="1" applyAlignment="1">
      <alignment horizontal="center" vertical="center"/>
    </xf>
    <xf numFmtId="183" fontId="18" fillId="0" borderId="44" xfId="0" applyNumberFormat="1" applyFont="1" applyBorder="1" applyAlignment="1">
      <alignment horizontal="center" vertical="center"/>
    </xf>
    <xf numFmtId="183" fontId="18" fillId="0" borderId="46" xfId="0" applyNumberFormat="1" applyFont="1" applyBorder="1" applyAlignment="1">
      <alignment horizontal="center" vertical="center"/>
    </xf>
    <xf numFmtId="183" fontId="18" fillId="0" borderId="47" xfId="0" applyNumberFormat="1" applyFont="1" applyBorder="1" applyAlignment="1">
      <alignment horizontal="center" vertical="center"/>
    </xf>
    <xf numFmtId="0" fontId="0" fillId="9" borderId="0" xfId="0" applyFill="1"/>
    <xf numFmtId="188" fontId="6" fillId="10" borderId="10" xfId="0" applyNumberFormat="1" applyFont="1" applyFill="1" applyBorder="1" applyAlignment="1">
      <alignment horizontal="left" wrapText="1" shrinkToFit="1"/>
    </xf>
    <xf numFmtId="188" fontId="6" fillId="10" borderId="10" xfId="0" applyNumberFormat="1" applyFont="1" applyFill="1" applyBorder="1" applyAlignment="1">
      <alignment horizontal="center" wrapText="1" shrinkToFit="1"/>
    </xf>
    <xf numFmtId="186" fontId="6" fillId="10" borderId="10" xfId="0" applyNumberFormat="1" applyFont="1" applyFill="1" applyBorder="1" applyAlignment="1">
      <alignment horizontal="center" wrapText="1" shrinkToFit="1"/>
    </xf>
    <xf numFmtId="0" fontId="0" fillId="9" borderId="11" xfId="0" applyFill="1" applyBorder="1" applyAlignment="1">
      <alignment horizontal="left"/>
    </xf>
    <xf numFmtId="188" fontId="0" fillId="9" borderId="11" xfId="0" applyNumberFormat="1" applyFill="1" applyBorder="1"/>
    <xf numFmtId="186" fontId="0" fillId="9" borderId="11" xfId="0" applyNumberFormat="1" applyFill="1" applyBorder="1"/>
    <xf numFmtId="0" fontId="4" fillId="9" borderId="11" xfId="0" applyFont="1" applyFill="1" applyBorder="1" applyAlignment="1">
      <alignment horizontal="left"/>
    </xf>
    <xf numFmtId="0" fontId="4" fillId="11" borderId="11" xfId="0" applyFont="1" applyFill="1" applyBorder="1" applyAlignment="1">
      <alignment horizontal="left"/>
    </xf>
    <xf numFmtId="188" fontId="0" fillId="11" borderId="11" xfId="0" applyNumberFormat="1" applyFill="1" applyBorder="1"/>
    <xf numFmtId="186" fontId="0" fillId="11" borderId="11" xfId="0" applyNumberFormat="1" applyFill="1" applyBorder="1"/>
    <xf numFmtId="0" fontId="4" fillId="11" borderId="15" xfId="0" applyFont="1" applyFill="1" applyBorder="1" applyAlignment="1">
      <alignment horizontal="left"/>
    </xf>
    <xf numFmtId="188" fontId="0" fillId="11" borderId="15" xfId="0" applyNumberFormat="1" applyFill="1" applyBorder="1"/>
    <xf numFmtId="186" fontId="0" fillId="11" borderId="15" xfId="0" applyNumberFormat="1" applyFill="1" applyBorder="1"/>
    <xf numFmtId="0" fontId="22" fillId="9" borderId="0" xfId="0" applyFont="1" applyFill="1" applyAlignment="1">
      <alignment wrapText="1"/>
    </xf>
    <xf numFmtId="0" fontId="22" fillId="9" borderId="0" xfId="0" applyFont="1" applyFill="1"/>
    <xf numFmtId="188" fontId="0" fillId="9" borderId="0" xfId="0" applyNumberFormat="1" applyFill="1"/>
    <xf numFmtId="186" fontId="0" fillId="9" borderId="0" xfId="0" applyNumberFormat="1" applyFill="1"/>
    <xf numFmtId="183" fontId="18" fillId="0" borderId="29" xfId="0" applyNumberFormat="1" applyFont="1" applyBorder="1" applyAlignment="1">
      <alignment horizontal="center" vertical="center"/>
    </xf>
    <xf numFmtId="183" fontId="18" fillId="0" borderId="30" xfId="0" applyNumberFormat="1" applyFont="1" applyBorder="1" applyAlignment="1">
      <alignment horizontal="center" vertical="center"/>
    </xf>
    <xf numFmtId="183" fontId="18" fillId="0" borderId="31" xfId="0" applyNumberFormat="1" applyFont="1" applyBorder="1" applyAlignment="1">
      <alignment horizontal="center" vertical="center"/>
    </xf>
    <xf numFmtId="183" fontId="18" fillId="0" borderId="7" xfId="0" applyNumberFormat="1" applyFont="1" applyBorder="1" applyAlignment="1">
      <alignment horizontal="center" vertical="center"/>
    </xf>
    <xf numFmtId="183" fontId="18" fillId="0" borderId="5" xfId="0" applyNumberFormat="1" applyFont="1" applyBorder="1" applyAlignment="1">
      <alignment horizontal="center" vertical="center"/>
    </xf>
    <xf numFmtId="183" fontId="18" fillId="0" borderId="8" xfId="0" applyNumberFormat="1" applyFont="1" applyBorder="1" applyAlignment="1">
      <alignment horizontal="center" vertical="center"/>
    </xf>
    <xf numFmtId="183" fontId="18" fillId="0" borderId="32" xfId="0" applyNumberFormat="1" applyFont="1" applyBorder="1" applyAlignment="1">
      <alignment horizontal="center" vertical="center"/>
    </xf>
    <xf numFmtId="183" fontId="18" fillId="0" borderId="44" xfId="0" applyNumberFormat="1" applyFont="1" applyBorder="1" applyAlignment="1">
      <alignment horizontal="center" vertical="center" wrapText="1"/>
    </xf>
    <xf numFmtId="179" fontId="3" fillId="0" borderId="0" xfId="3" applyNumberFormat="1"/>
    <xf numFmtId="0" fontId="11" fillId="12" borderId="0" xfId="0" applyFont="1" applyFill="1"/>
    <xf numFmtId="43" fontId="0" fillId="0" borderId="7" xfId="1" applyFont="1" applyBorder="1" applyAlignment="1">
      <alignment horizontal="right"/>
    </xf>
    <xf numFmtId="43" fontId="16" fillId="0" borderId="7" xfId="1" applyFont="1" applyBorder="1" applyAlignment="1">
      <alignment horizontal="right"/>
    </xf>
    <xf numFmtId="43" fontId="16" fillId="0" borderId="8" xfId="1" applyFont="1" applyBorder="1" applyAlignment="1">
      <alignment horizontal="right"/>
    </xf>
    <xf numFmtId="10" fontId="0" fillId="0" borderId="0" xfId="0" applyNumberFormat="1"/>
    <xf numFmtId="189" fontId="0" fillId="0" borderId="0" xfId="1" applyNumberFormat="1" applyFont="1"/>
    <xf numFmtId="2" fontId="0" fillId="0" borderId="15" xfId="0" applyNumberFormat="1" applyBorder="1" applyAlignment="1">
      <alignment horizontal="left"/>
    </xf>
    <xf numFmtId="0" fontId="1" fillId="7" borderId="10" xfId="0" applyFont="1" applyFill="1" applyBorder="1"/>
    <xf numFmtId="0" fontId="1" fillId="3" borderId="0" xfId="0" applyFont="1" applyFill="1" applyAlignment="1">
      <alignment horizontal="center"/>
    </xf>
    <xf numFmtId="0" fontId="0" fillId="3" borderId="1" xfId="0" applyFill="1" applyBorder="1"/>
    <xf numFmtId="4" fontId="0" fillId="3" borderId="3" xfId="0" applyNumberFormat="1" applyFill="1" applyBorder="1"/>
    <xf numFmtId="4" fontId="7" fillId="3" borderId="0" xfId="0" applyNumberFormat="1" applyFont="1" applyFill="1"/>
    <xf numFmtId="178" fontId="7" fillId="3" borderId="0" xfId="0" applyNumberFormat="1" applyFont="1" applyFill="1"/>
    <xf numFmtId="43" fontId="7" fillId="3" borderId="0" xfId="1" applyFont="1" applyFill="1"/>
    <xf numFmtId="43" fontId="0" fillId="3" borderId="0" xfId="1" applyFont="1" applyFill="1"/>
    <xf numFmtId="43" fontId="0" fillId="3" borderId="3" xfId="1" applyFont="1" applyFill="1" applyBorder="1"/>
    <xf numFmtId="181" fontId="7" fillId="3" borderId="0" xfId="0" applyNumberFormat="1" applyFont="1" applyFill="1"/>
    <xf numFmtId="2" fontId="7" fillId="3" borderId="0" xfId="0" applyNumberFormat="1" applyFont="1" applyFill="1"/>
    <xf numFmtId="0" fontId="7" fillId="3" borderId="0" xfId="0" applyFont="1" applyFill="1"/>
    <xf numFmtId="179" fontId="7" fillId="3" borderId="0" xfId="0" applyNumberFormat="1" applyFont="1" applyFill="1"/>
    <xf numFmtId="10" fontId="7" fillId="3" borderId="0" xfId="0" applyNumberFormat="1" applyFont="1" applyFill="1"/>
    <xf numFmtId="43" fontId="7" fillId="3" borderId="0" xfId="0" applyNumberFormat="1" applyFont="1" applyFill="1"/>
    <xf numFmtId="182" fontId="0" fillId="3" borderId="0" xfId="0" applyNumberFormat="1" applyFill="1"/>
    <xf numFmtId="10" fontId="0" fillId="3" borderId="0" xfId="0" applyNumberFormat="1" applyFill="1"/>
    <xf numFmtId="43" fontId="0" fillId="3" borderId="3" xfId="0" applyNumberFormat="1" applyFill="1" applyBorder="1"/>
    <xf numFmtId="43" fontId="0" fillId="3" borderId="0" xfId="0" applyNumberFormat="1" applyFill="1"/>
    <xf numFmtId="181" fontId="0" fillId="3" borderId="0" xfId="0" applyNumberFormat="1" applyFill="1"/>
    <xf numFmtId="181" fontId="0" fillId="3" borderId="3" xfId="0" applyNumberFormat="1" applyFill="1" applyBorder="1"/>
    <xf numFmtId="0" fontId="1" fillId="7" borderId="2" xfId="0" applyFont="1" applyFill="1" applyBorder="1" applyAlignment="1">
      <alignment horizontal="center"/>
    </xf>
    <xf numFmtId="0" fontId="1" fillId="7" borderId="9" xfId="0" applyFont="1" applyFill="1" applyBorder="1" applyAlignment="1">
      <alignment horizontal="center"/>
    </xf>
    <xf numFmtId="0" fontId="14" fillId="6" borderId="5" xfId="0" applyFont="1" applyFill="1" applyBorder="1" applyAlignment="1">
      <alignment horizontal="center"/>
    </xf>
    <xf numFmtId="0" fontId="14" fillId="6" borderId="7" xfId="0" applyFont="1" applyFill="1" applyBorder="1" applyAlignment="1">
      <alignment horizontal="center"/>
    </xf>
    <xf numFmtId="0" fontId="14" fillId="6" borderId="8" xfId="0" applyFont="1" applyFill="1" applyBorder="1" applyAlignment="1">
      <alignment horizontal="center"/>
    </xf>
    <xf numFmtId="0" fontId="1" fillId="7" borderId="5" xfId="0" applyFont="1" applyFill="1" applyBorder="1" applyAlignment="1">
      <alignment horizontal="center"/>
    </xf>
    <xf numFmtId="0" fontId="1" fillId="7" borderId="8" xfId="0" applyFont="1" applyFill="1" applyBorder="1" applyAlignment="1">
      <alignment horizontal="center"/>
    </xf>
    <xf numFmtId="0" fontId="21" fillId="0" borderId="0" xfId="0" applyFont="1" applyAlignment="1">
      <alignment horizontal="left" vertical="center" wrapText="1"/>
    </xf>
    <xf numFmtId="0" fontId="21" fillId="0" borderId="0" xfId="0" applyFont="1" applyAlignment="1">
      <alignment horizontal="left" vertical="top" wrapText="1"/>
    </xf>
    <xf numFmtId="0" fontId="17" fillId="0" borderId="0" xfId="0" applyFont="1" applyAlignment="1">
      <alignment horizontal="center"/>
    </xf>
    <xf numFmtId="0" fontId="18" fillId="0" borderId="1" xfId="0" applyFont="1" applyBorder="1" applyAlignment="1">
      <alignment horizontal="center"/>
    </xf>
    <xf numFmtId="0" fontId="19" fillId="7" borderId="5" xfId="0" applyFont="1" applyFill="1" applyBorder="1" applyAlignment="1">
      <alignment horizontal="center" wrapText="1"/>
    </xf>
    <xf numFmtId="0" fontId="19" fillId="7" borderId="20" xfId="0" applyFont="1" applyFill="1" applyBorder="1" applyAlignment="1">
      <alignment horizontal="center" wrapText="1"/>
    </xf>
    <xf numFmtId="0" fontId="18" fillId="7" borderId="17" xfId="0" applyFont="1" applyFill="1" applyBorder="1" applyAlignment="1">
      <alignment horizontal="center" wrapText="1"/>
    </xf>
    <xf numFmtId="0" fontId="18" fillId="7" borderId="18" xfId="0" applyFont="1" applyFill="1" applyBorder="1" applyAlignment="1">
      <alignment horizontal="center" wrapText="1"/>
    </xf>
    <xf numFmtId="0" fontId="18" fillId="7" borderId="19" xfId="0" applyFont="1" applyFill="1" applyBorder="1" applyAlignment="1">
      <alignment horizontal="center" wrapText="1"/>
    </xf>
    <xf numFmtId="0" fontId="6" fillId="8" borderId="5" xfId="0" applyFont="1" applyFill="1" applyBorder="1" applyAlignment="1">
      <alignment horizontal="center" wrapText="1" shrinkToFit="1"/>
    </xf>
    <xf numFmtId="0" fontId="6" fillId="8" borderId="7" xfId="0" applyFont="1" applyFill="1" applyBorder="1" applyAlignment="1">
      <alignment horizontal="center" wrapText="1" shrinkToFit="1"/>
    </xf>
    <xf numFmtId="0" fontId="6" fillId="8" borderId="8" xfId="0" applyFont="1" applyFill="1" applyBorder="1" applyAlignment="1">
      <alignment horizontal="center" wrapText="1" shrinkToFit="1"/>
    </xf>
    <xf numFmtId="0" fontId="22" fillId="9" borderId="0" xfId="0" applyFont="1" applyFill="1" applyAlignment="1">
      <alignment horizontal="left" wrapText="1"/>
    </xf>
    <xf numFmtId="0" fontId="1" fillId="4" borderId="0" xfId="0" applyFont="1" applyFill="1" applyAlignment="1">
      <alignment horizontal="center"/>
    </xf>
    <xf numFmtId="0" fontId="10" fillId="4" borderId="0" xfId="0" applyFont="1" applyFill="1" applyAlignment="1">
      <alignment horizontal="center"/>
    </xf>
  </cellXfs>
  <cellStyles count="4">
    <cellStyle name="Comma" xfId="1" builtinId="3"/>
    <cellStyle name="Hyperlink" xfId="2" builtinId="8"/>
    <cellStyle name="Normal" xfId="0" builtinId="0"/>
    <cellStyle name="Normal 2" xfId="3" xr:uid="{D3178D68-1AB7-404B-A5C9-4A24ABEBE3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Adjusted EBITDA Margin</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zh-CN"/>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Lit>
              <c:ptCount val="9"/>
              <c:pt idx="0">
                <c:v>FY20</c:v>
              </c:pt>
              <c:pt idx="1">
                <c:v> FY21</c:v>
              </c:pt>
              <c:pt idx="2">
                <c:v> FY22</c:v>
              </c:pt>
              <c:pt idx="3">
                <c:v> FY23</c:v>
              </c:pt>
              <c:pt idx="4">
                <c:v> FY24</c:v>
              </c:pt>
              <c:pt idx="5">
                <c:v>  FY25</c:v>
              </c:pt>
              <c:pt idx="6">
                <c:v> FY26</c:v>
              </c:pt>
              <c:pt idx="7">
                <c:v> FY27</c:v>
              </c:pt>
              <c:pt idx="8">
                <c:v> FY28</c:v>
              </c:pt>
            </c:strLit>
          </c:cat>
          <c:val>
            <c:numRef>
              <c:f>('AZEK-US'!$E$73:$F$73,'AZEK-US'!$K$73,'AZEK-US'!$P$73,'AZEK-US'!$U$73,'AZEK-US'!$Z$73:$AC$73)</c:f>
              <c:numCache>
                <c:formatCode>0.00%_);\(0.00%\);0.00%_);@_)</c:formatCode>
                <c:ptCount val="9"/>
                <c:pt idx="0">
                  <c:v>0.22958013256274742</c:v>
                </c:pt>
                <c:pt idx="1">
                  <c:v>0.22764538253400451</c:v>
                </c:pt>
                <c:pt idx="2">
                  <c:v>0.21421362511431485</c:v>
                </c:pt>
                <c:pt idx="3">
                  <c:v>0.20713326045136116</c:v>
                </c:pt>
                <c:pt idx="4">
                  <c:v>0.26316661874957142</c:v>
                </c:pt>
                <c:pt idx="5">
                  <c:v>0.26882357482172042</c:v>
                </c:pt>
                <c:pt idx="6">
                  <c:v>0.28069821569165743</c:v>
                </c:pt>
                <c:pt idx="7">
                  <c:v>0.29046788320087391</c:v>
                </c:pt>
                <c:pt idx="8">
                  <c:v>0.29800920620182458</c:v>
                </c:pt>
              </c:numCache>
            </c:numRef>
          </c:val>
          <c:extLst>
            <c:ext xmlns:c16="http://schemas.microsoft.com/office/drawing/2014/chart" uri="{C3380CC4-5D6E-409C-BE32-E72D297353CC}">
              <c16:uniqueId val="{00000000-362B-4FAC-B4E0-B4B251187CA7}"/>
            </c:ext>
          </c:extLst>
        </c:ser>
        <c:dLbls>
          <c:showLegendKey val="0"/>
          <c:showVal val="0"/>
          <c:showCatName val="0"/>
          <c:showSerName val="0"/>
          <c:showPercent val="0"/>
          <c:showBubbleSize val="0"/>
        </c:dLbls>
        <c:gapWidth val="100"/>
        <c:overlap val="-24"/>
        <c:axId val="1094641184"/>
        <c:axId val="1094637824"/>
      </c:barChart>
      <c:catAx>
        <c:axId val="109464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zh-CN"/>
          </a:p>
        </c:txPr>
        <c:crossAx val="1094637824"/>
        <c:crosses val="autoZero"/>
        <c:auto val="1"/>
        <c:lblAlgn val="ctr"/>
        <c:lblOffset val="100"/>
        <c:noMultiLvlLbl val="0"/>
      </c:catAx>
      <c:valAx>
        <c:axId val="1094637824"/>
        <c:scaling>
          <c:orientation val="minMax"/>
          <c:min val="0.15000000000000002"/>
        </c:scaling>
        <c:delete val="0"/>
        <c:axPos val="l"/>
        <c:majorGridlines>
          <c:spPr>
            <a:ln w="9525" cap="flat" cmpd="sng" algn="ctr">
              <a:solidFill>
                <a:schemeClr val="tx1">
                  <a:lumMod val="15000"/>
                  <a:lumOff val="85000"/>
                </a:schemeClr>
              </a:solidFill>
              <a:round/>
            </a:ln>
            <a:effectLst/>
          </c:spPr>
        </c:majorGridlines>
        <c:numFmt formatCode="0.00%_);\(0.00%\);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zh-CN"/>
          </a:p>
        </c:txPr>
        <c:crossAx val="1094641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RMI Future Indicators Index</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zh-CN"/>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'NAHB RMI'!$B$5:$N$5</c:f>
              <c:strCache>
                <c:ptCount val="13"/>
                <c:pt idx="0">
                  <c:v>2021 Q4</c:v>
                </c:pt>
                <c:pt idx="1">
                  <c:v>2022 Q1</c:v>
                </c:pt>
                <c:pt idx="2">
                  <c:v>2022 Q2</c:v>
                </c:pt>
                <c:pt idx="3">
                  <c:v>2022 Q3</c:v>
                </c:pt>
                <c:pt idx="4">
                  <c:v>2022 Q4</c:v>
                </c:pt>
                <c:pt idx="5">
                  <c:v>2023 Q1</c:v>
                </c:pt>
                <c:pt idx="6">
                  <c:v>2023 Q2</c:v>
                </c:pt>
                <c:pt idx="7">
                  <c:v>2023 Q3</c:v>
                </c:pt>
                <c:pt idx="8">
                  <c:v>2023 Q4</c:v>
                </c:pt>
                <c:pt idx="9">
                  <c:v>2024 Q1</c:v>
                </c:pt>
                <c:pt idx="10">
                  <c:v>2024 Q2</c:v>
                </c:pt>
                <c:pt idx="11">
                  <c:v>2024 Q3</c:v>
                </c:pt>
                <c:pt idx="12">
                  <c:v>2024 Q4</c:v>
                </c:pt>
              </c:strCache>
            </c:strRef>
          </c:cat>
          <c:val>
            <c:numRef>
              <c:f>'NAHB RMI'!$B$13:$N$13</c:f>
              <c:numCache>
                <c:formatCode>0.0</c:formatCode>
                <c:ptCount val="13"/>
                <c:pt idx="0">
                  <c:v>83.067793097902509</c:v>
                </c:pt>
                <c:pt idx="1">
                  <c:v>78.481187684716843</c:v>
                </c:pt>
                <c:pt idx="2">
                  <c:v>70.326892333158639</c:v>
                </c:pt>
                <c:pt idx="3">
                  <c:v>70.864863585563583</c:v>
                </c:pt>
                <c:pt idx="4">
                  <c:v>62.062815229434094</c:v>
                </c:pt>
                <c:pt idx="5">
                  <c:v>64.046966714100535</c:v>
                </c:pt>
                <c:pt idx="6">
                  <c:v>60.036289203359757</c:v>
                </c:pt>
                <c:pt idx="7">
                  <c:v>57.463389412211285</c:v>
                </c:pt>
                <c:pt idx="8">
                  <c:v>58.964202258581111</c:v>
                </c:pt>
                <c:pt idx="9">
                  <c:v>58.535486414887643</c:v>
                </c:pt>
                <c:pt idx="10">
                  <c:v>57.774100026406053</c:v>
                </c:pt>
                <c:pt idx="11">
                  <c:v>54.958369303371256</c:v>
                </c:pt>
                <c:pt idx="12">
                  <c:v>60.882427271744135</c:v>
                </c:pt>
              </c:numCache>
            </c:numRef>
          </c:val>
          <c:extLst>
            <c:ext xmlns:c16="http://schemas.microsoft.com/office/drawing/2014/chart" uri="{C3380CC4-5D6E-409C-BE32-E72D297353CC}">
              <c16:uniqueId val="{00000000-B075-4313-8A74-C055D7C8B7ED}"/>
            </c:ext>
          </c:extLst>
        </c:ser>
        <c:dLbls>
          <c:showLegendKey val="0"/>
          <c:showVal val="0"/>
          <c:showCatName val="0"/>
          <c:showSerName val="0"/>
          <c:showPercent val="0"/>
          <c:showBubbleSize val="0"/>
        </c:dLbls>
        <c:gapWidth val="100"/>
        <c:overlap val="-24"/>
        <c:axId val="820110640"/>
        <c:axId val="820111120"/>
      </c:barChart>
      <c:catAx>
        <c:axId val="82011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zh-CN"/>
          </a:p>
        </c:txPr>
        <c:crossAx val="820111120"/>
        <c:crosses val="autoZero"/>
        <c:auto val="1"/>
        <c:lblAlgn val="ctr"/>
        <c:lblOffset val="100"/>
        <c:noMultiLvlLbl val="0"/>
      </c:catAx>
      <c:valAx>
        <c:axId val="82011112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zh-CN"/>
          </a:p>
        </c:txPr>
        <c:crossAx val="820110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Leading Indicator of Remodeling Activity</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zh-CN"/>
        </a:p>
      </c:txPr>
    </c:title>
    <c:autoTitleDeleted val="0"/>
    <c:plotArea>
      <c:layout/>
      <c:barChart>
        <c:barDir val="col"/>
        <c:grouping val="clustered"/>
        <c:varyColors val="0"/>
        <c:ser>
          <c:idx val="0"/>
          <c:order val="0"/>
          <c:tx>
            <c:strRef>
              <c:f>LIRA!$B$2</c:f>
              <c:strCache>
                <c:ptCount val="1"/>
                <c:pt idx="0">
                  <c:v>Four-Quarter Moving Total in Billions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LIRA!$A$84:$A$119</c:f>
              <c:strCache>
                <c:ptCount val="36"/>
                <c:pt idx="0">
                  <c:v>2017:Q1 </c:v>
                </c:pt>
                <c:pt idx="1">
                  <c:v>2017:Q2</c:v>
                </c:pt>
                <c:pt idx="2">
                  <c:v>2017:Q3 </c:v>
                </c:pt>
                <c:pt idx="3">
                  <c:v>2017:Q4 </c:v>
                </c:pt>
                <c:pt idx="4">
                  <c:v>2018:Q1 </c:v>
                </c:pt>
                <c:pt idx="5">
                  <c:v>2018:Q2 </c:v>
                </c:pt>
                <c:pt idx="6">
                  <c:v>2018:Q3 </c:v>
                </c:pt>
                <c:pt idx="7">
                  <c:v>2018:Q4 </c:v>
                </c:pt>
                <c:pt idx="8">
                  <c:v>2019:Q1 </c:v>
                </c:pt>
                <c:pt idx="9">
                  <c:v>2019:Q2 </c:v>
                </c:pt>
                <c:pt idx="10">
                  <c:v>2019:Q3</c:v>
                </c:pt>
                <c:pt idx="11">
                  <c:v>2019:Q4</c:v>
                </c:pt>
                <c:pt idx="12">
                  <c:v>2020:Q1</c:v>
                </c:pt>
                <c:pt idx="13">
                  <c:v>2020:Q2 </c:v>
                </c:pt>
                <c:pt idx="14">
                  <c:v>2020:Q3</c:v>
                </c:pt>
                <c:pt idx="15">
                  <c:v>2020:Q4 </c:v>
                </c:pt>
                <c:pt idx="16">
                  <c:v>2021:Q1</c:v>
                </c:pt>
                <c:pt idx="17">
                  <c:v>2021:Q2 </c:v>
                </c:pt>
                <c:pt idx="18">
                  <c:v>2021:Q3</c:v>
                </c:pt>
                <c:pt idx="19">
                  <c:v>2021:Q4 </c:v>
                </c:pt>
                <c:pt idx="20">
                  <c:v>2022:Q1</c:v>
                </c:pt>
                <c:pt idx="21">
                  <c:v>2022:Q2 </c:v>
                </c:pt>
                <c:pt idx="22">
                  <c:v>2022:Q3</c:v>
                </c:pt>
                <c:pt idx="23">
                  <c:v>2022:Q4 </c:v>
                </c:pt>
                <c:pt idx="24">
                  <c:v>2023:Q1</c:v>
                </c:pt>
                <c:pt idx="25">
                  <c:v>2023:Q2 </c:v>
                </c:pt>
                <c:pt idx="26">
                  <c:v>2023:Q3</c:v>
                </c:pt>
                <c:pt idx="27">
                  <c:v>2023:Q4 </c:v>
                </c:pt>
                <c:pt idx="28">
                  <c:v>2024:Q1</c:v>
                </c:pt>
                <c:pt idx="29">
                  <c:v>2024:Q2 </c:v>
                </c:pt>
                <c:pt idx="30">
                  <c:v>2024:Q3</c:v>
                </c:pt>
                <c:pt idx="31">
                  <c:v>2024:Q4 </c:v>
                </c:pt>
                <c:pt idx="32">
                  <c:v>2025:Q1 (p)</c:v>
                </c:pt>
                <c:pt idx="33">
                  <c:v>2025:Q2 (p)</c:v>
                </c:pt>
                <c:pt idx="34">
                  <c:v>2025:Q3 (p)</c:v>
                </c:pt>
                <c:pt idx="35">
                  <c:v>2025:Q4 (p)</c:v>
                </c:pt>
              </c:strCache>
            </c:strRef>
          </c:cat>
          <c:val>
            <c:numRef>
              <c:f>LIRA!$B$84:$B$119</c:f>
              <c:numCache>
                <c:formatCode>"$"#,##0.0</c:formatCode>
                <c:ptCount val="36"/>
                <c:pt idx="0">
                  <c:v>281.46880368389094</c:v>
                </c:pt>
                <c:pt idx="1">
                  <c:v>283.94722533485719</c:v>
                </c:pt>
                <c:pt idx="2">
                  <c:v>286.55521420310413</c:v>
                </c:pt>
                <c:pt idx="3">
                  <c:v>288.68761009281235</c:v>
                </c:pt>
                <c:pt idx="4">
                  <c:v>295.48154908620126</c:v>
                </c:pt>
                <c:pt idx="5">
                  <c:v>305.03432766778684</c:v>
                </c:pt>
                <c:pt idx="6">
                  <c:v>315.07871909157859</c:v>
                </c:pt>
                <c:pt idx="7">
                  <c:v>323.29471564664647</c:v>
                </c:pt>
                <c:pt idx="8">
                  <c:v>324.18209255388115</c:v>
                </c:pt>
                <c:pt idx="9">
                  <c:v>325.44285517484593</c:v>
                </c:pt>
                <c:pt idx="10">
                  <c:v>326.77760307592234</c:v>
                </c:pt>
                <c:pt idx="11">
                  <c:v>327.86552399418827</c:v>
                </c:pt>
                <c:pt idx="12">
                  <c:v>334.48969789925354</c:v>
                </c:pt>
                <c:pt idx="13">
                  <c:v>343.81002933604213</c:v>
                </c:pt>
                <c:pt idx="14">
                  <c:v>353.61437595155149</c:v>
                </c:pt>
                <c:pt idx="15">
                  <c:v>361.63217213348861</c:v>
                </c:pt>
                <c:pt idx="16">
                  <c:v>370.56267974187784</c:v>
                </c:pt>
                <c:pt idx="17">
                  <c:v>383.11520543386553</c:v>
                </c:pt>
                <c:pt idx="18">
                  <c:v>396.31063117263591</c:v>
                </c:pt>
                <c:pt idx="19">
                  <c:v>407.10538462401365</c:v>
                </c:pt>
                <c:pt idx="20">
                  <c:v>428.25250179392378</c:v>
                </c:pt>
                <c:pt idx="21">
                  <c:v>458.09108792631986</c:v>
                </c:pt>
                <c:pt idx="22">
                  <c:v>489.53794860511084</c:v>
                </c:pt>
                <c:pt idx="23">
                  <c:v>515.22965858144153</c:v>
                </c:pt>
                <c:pt idx="24">
                  <c:v>513.99992182550398</c:v>
                </c:pt>
                <c:pt idx="25">
                  <c:v>512.55746940023812</c:v>
                </c:pt>
                <c:pt idx="26">
                  <c:v>511.24080413198993</c:v>
                </c:pt>
                <c:pt idx="27">
                  <c:v>510.07897642609692</c:v>
                </c:pt>
                <c:pt idx="28">
                  <c:v>511.43802827263886</c:v>
                </c:pt>
                <c:pt idx="29">
                  <c:v>501.39787871334693</c:v>
                </c:pt>
                <c:pt idx="30">
                  <c:v>499.77709319090269</c:v>
                </c:pt>
                <c:pt idx="31">
                  <c:v>502.71047813267404</c:v>
                </c:pt>
                <c:pt idx="32">
                  <c:v>513.42466210774887</c:v>
                </c:pt>
                <c:pt idx="33">
                  <c:v>504.87137791262819</c:v>
                </c:pt>
                <c:pt idx="34">
                  <c:v>505.87162699191026</c:v>
                </c:pt>
                <c:pt idx="35">
                  <c:v>508.90436617570094</c:v>
                </c:pt>
              </c:numCache>
            </c:numRef>
          </c:val>
          <c:extLst>
            <c:ext xmlns:c16="http://schemas.microsoft.com/office/drawing/2014/chart" uri="{C3380CC4-5D6E-409C-BE32-E72D297353CC}">
              <c16:uniqueId val="{00000000-430F-4ABE-97FC-251C9B2A39D4}"/>
            </c:ext>
          </c:extLst>
        </c:ser>
        <c:dLbls>
          <c:showLegendKey val="0"/>
          <c:showVal val="0"/>
          <c:showCatName val="0"/>
          <c:showSerName val="0"/>
          <c:showPercent val="0"/>
          <c:showBubbleSize val="0"/>
        </c:dLbls>
        <c:gapWidth val="219"/>
        <c:overlap val="-27"/>
        <c:axId val="1785410256"/>
        <c:axId val="1785412656"/>
      </c:barChart>
      <c:lineChart>
        <c:grouping val="standard"/>
        <c:varyColors val="0"/>
        <c:ser>
          <c:idx val="1"/>
          <c:order val="1"/>
          <c:tx>
            <c:strRef>
              <c:f>LIRA!$C$2</c:f>
              <c:strCache>
                <c:ptCount val="1"/>
                <c:pt idx="0">
                  <c:v>Four-Quarter Moving Rate of Change</c:v>
                </c:pt>
              </c:strCache>
            </c:strRef>
          </c:tx>
          <c:spPr>
            <a:ln w="15875" cap="rnd">
              <a:solidFill>
                <a:schemeClr val="accent2"/>
              </a:solidFill>
              <a:round/>
            </a:ln>
            <a:effectLst/>
          </c:spPr>
          <c:marker>
            <c:symbol val="none"/>
          </c:marker>
          <c:val>
            <c:numRef>
              <c:f>LIRA!$C$84:$C$119</c:f>
              <c:numCache>
                <c:formatCode>0.0%</c:formatCode>
                <c:ptCount val="36"/>
                <c:pt idx="0">
                  <c:v>1.5045756544221911E-2</c:v>
                </c:pt>
                <c:pt idx="1">
                  <c:v>2.0971856702572289E-2</c:v>
                </c:pt>
                <c:pt idx="2">
                  <c:v>2.7093516688786012E-2</c:v>
                </c:pt>
                <c:pt idx="3">
                  <c:v>3.2102744340107847E-2</c:v>
                </c:pt>
                <c:pt idx="4">
                  <c:v>4.978436408905762E-2</c:v>
                </c:pt>
                <c:pt idx="5">
                  <c:v>7.4264160560335579E-2</c:v>
                </c:pt>
                <c:pt idx="6">
                  <c:v>9.9539298099310169E-2</c:v>
                </c:pt>
                <c:pt idx="7">
                  <c:v>0.11987734957765595</c:v>
                </c:pt>
                <c:pt idx="8">
                  <c:v>9.7131423455841803E-2</c:v>
                </c:pt>
                <c:pt idx="9">
                  <c:v>6.6905674725521447E-2</c:v>
                </c:pt>
                <c:pt idx="10">
                  <c:v>3.7130035370441572E-2</c:v>
                </c:pt>
                <c:pt idx="11">
                  <c:v>1.4138209275704972E-2</c:v>
                </c:pt>
                <c:pt idx="12">
                  <c:v>3.1795727099451776E-2</c:v>
                </c:pt>
                <c:pt idx="13">
                  <c:v>5.6437478559264509E-2</c:v>
                </c:pt>
                <c:pt idx="14">
                  <c:v>8.2125496432489564E-2</c:v>
                </c:pt>
                <c:pt idx="15">
                  <c:v>0.10298932235369418</c:v>
                </c:pt>
                <c:pt idx="16">
                  <c:v>0.10784482173645094</c:v>
                </c:pt>
                <c:pt idx="17">
                  <c:v>0.1143223662606021</c:v>
                </c:pt>
                <c:pt idx="18">
                  <c:v>0.12074241921356221</c:v>
                </c:pt>
                <c:pt idx="19">
                  <c:v>0.12574437783632697</c:v>
                </c:pt>
                <c:pt idx="20">
                  <c:v>0.15568168411409067</c:v>
                </c:pt>
                <c:pt idx="21">
                  <c:v>0.19570061806225247</c:v>
                </c:pt>
                <c:pt idx="22">
                  <c:v>0.23523799287600844</c:v>
                </c:pt>
                <c:pt idx="23">
                  <c:v>0.26559283674738698</c:v>
                </c:pt>
                <c:pt idx="24">
                  <c:v>0.20022631431781357</c:v>
                </c:pt>
                <c:pt idx="25">
                  <c:v>0.1188985835120171</c:v>
                </c:pt>
                <c:pt idx="26">
                  <c:v>4.4333346554070507E-2</c:v>
                </c:pt>
                <c:pt idx="27">
                  <c:v>-9.9968665808675139E-3</c:v>
                </c:pt>
                <c:pt idx="28">
                  <c:v>-4.9842294601259995E-3</c:v>
                </c:pt>
                <c:pt idx="29">
                  <c:v>-2.177236964266549E-2</c:v>
                </c:pt>
                <c:pt idx="30">
                  <c:v>-2.2423309814933456E-2</c:v>
                </c:pt>
                <c:pt idx="31">
                  <c:v>-1.4445798854622049E-2</c:v>
                </c:pt>
                <c:pt idx="32">
                  <c:v>3.8844077391346765E-3</c:v>
                </c:pt>
                <c:pt idx="33">
                  <c:v>6.9276304243541809E-3</c:v>
                </c:pt>
                <c:pt idx="34">
                  <c:v>1.2194504078000268E-2</c:v>
                </c:pt>
                <c:pt idx="35">
                  <c:v>1.2320984567566917E-2</c:v>
                </c:pt>
              </c:numCache>
            </c:numRef>
          </c:val>
          <c:smooth val="0"/>
          <c:extLst>
            <c:ext xmlns:c16="http://schemas.microsoft.com/office/drawing/2014/chart" uri="{C3380CC4-5D6E-409C-BE32-E72D297353CC}">
              <c16:uniqueId val="{00000001-430F-4ABE-97FC-251C9B2A39D4}"/>
            </c:ext>
          </c:extLst>
        </c:ser>
        <c:dLbls>
          <c:showLegendKey val="0"/>
          <c:showVal val="0"/>
          <c:showCatName val="0"/>
          <c:showSerName val="0"/>
          <c:showPercent val="0"/>
          <c:showBubbleSize val="0"/>
        </c:dLbls>
        <c:marker val="1"/>
        <c:smooth val="0"/>
        <c:axId val="1789432960"/>
        <c:axId val="1785411696"/>
      </c:lineChart>
      <c:catAx>
        <c:axId val="178541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zh-CN"/>
          </a:p>
        </c:txPr>
        <c:crossAx val="1785412656"/>
        <c:crosses val="autoZero"/>
        <c:auto val="1"/>
        <c:lblAlgn val="ctr"/>
        <c:lblOffset val="100"/>
        <c:noMultiLvlLbl val="0"/>
      </c:catAx>
      <c:valAx>
        <c:axId val="1785412656"/>
        <c:scaling>
          <c:orientation val="minMax"/>
          <c:min val="250"/>
        </c:scaling>
        <c:delete val="0"/>
        <c:axPos val="l"/>
        <c:majorGridlines>
          <c:spPr>
            <a:ln w="9525" cap="flat" cmpd="sng" algn="ctr">
              <a:solidFill>
                <a:schemeClr val="tx1">
                  <a:lumMod val="15000"/>
                  <a:lumOff val="85000"/>
                </a:schemeClr>
              </a:solidFill>
              <a:round/>
            </a:ln>
            <a:effectLst/>
          </c:spPr>
        </c:majorGridlines>
        <c:numFmt formatCode="&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zh-CN"/>
          </a:p>
        </c:txPr>
        <c:crossAx val="1785410256"/>
        <c:crosses val="autoZero"/>
        <c:crossBetween val="between"/>
      </c:valAx>
      <c:valAx>
        <c:axId val="1785411696"/>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zh-CN"/>
          </a:p>
        </c:txPr>
        <c:crossAx val="1789432960"/>
        <c:crosses val="max"/>
        <c:crossBetween val="between"/>
      </c:valAx>
      <c:catAx>
        <c:axId val="1789432960"/>
        <c:scaling>
          <c:orientation val="minMax"/>
        </c:scaling>
        <c:delete val="1"/>
        <c:axPos val="b"/>
        <c:majorTickMark val="none"/>
        <c:minorTickMark val="none"/>
        <c:tickLblPos val="nextTo"/>
        <c:crossAx val="17854116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327025</xdr:colOff>
      <xdr:row>61</xdr:row>
      <xdr:rowOff>79375</xdr:rowOff>
    </xdr:from>
    <xdr:to>
      <xdr:col>8</xdr:col>
      <xdr:colOff>441325</xdr:colOff>
      <xdr:row>75</xdr:row>
      <xdr:rowOff>155575</xdr:rowOff>
    </xdr:to>
    <xdr:graphicFrame macro="">
      <xdr:nvGraphicFramePr>
        <xdr:cNvPr id="2" name="Chart 1">
          <a:extLst>
            <a:ext uri="{FF2B5EF4-FFF2-40B4-BE49-F238E27FC236}">
              <a16:creationId xmlns:a16="http://schemas.microsoft.com/office/drawing/2014/main" id="{637299F7-2026-9728-E2A4-8B63289AB2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146050</xdr:colOff>
          <xdr:row>17</xdr:row>
          <xdr:rowOff>19050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xdr:rowOff>
        </xdr:from>
        <xdr:to>
          <xdr:col>14</xdr:col>
          <xdr:colOff>146050</xdr:colOff>
          <xdr:row>34</xdr:row>
          <xdr:rowOff>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163285</xdr:colOff>
      <xdr:row>22</xdr:row>
      <xdr:rowOff>152400</xdr:rowOff>
    </xdr:from>
    <xdr:to>
      <xdr:col>14</xdr:col>
      <xdr:colOff>54427</xdr:colOff>
      <xdr:row>42</xdr:row>
      <xdr:rowOff>163284</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13</xdr:row>
      <xdr:rowOff>0</xdr:rowOff>
    </xdr:from>
    <xdr:to>
      <xdr:col>25</xdr:col>
      <xdr:colOff>512490</xdr:colOff>
      <xdr:row>26</xdr:row>
      <xdr:rowOff>23289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441714" y="5270500"/>
          <a:ext cx="6590347" cy="32799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44450</xdr:colOff>
      <xdr:row>2</xdr:row>
      <xdr:rowOff>114300</xdr:rowOff>
    </xdr:from>
    <xdr:to>
      <xdr:col>14</xdr:col>
      <xdr:colOff>355600</xdr:colOff>
      <xdr:row>23</xdr:row>
      <xdr:rowOff>101600</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203200</xdr:colOff>
      <xdr:row>26</xdr:row>
      <xdr:rowOff>88900</xdr:rowOff>
    </xdr:from>
    <xdr:to>
      <xdr:col>15</xdr:col>
      <xdr:colOff>526364</xdr:colOff>
      <xdr:row>47</xdr:row>
      <xdr:rowOff>89951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4711700" y="4565650"/>
          <a:ext cx="6736664" cy="33348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139700</xdr:colOff>
          <xdr:row>18</xdr:row>
          <xdr:rowOff>69850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50800</xdr:rowOff>
        </xdr:from>
        <xdr:to>
          <xdr:col>14</xdr:col>
          <xdr:colOff>139700</xdr:colOff>
          <xdr:row>34</xdr:row>
          <xdr:rowOff>63500</xdr:rowOff>
        </xdr:to>
        <xdr:sp macro="" textlink="">
          <xdr:nvSpPr>
            <xdr:cNvPr id="7172" name="Object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17" Type="http://schemas.openxmlformats.org/officeDocument/2006/relationships/hyperlink" Target="fdsup://factset/Doc%20Viewer%20Single?float_window=true&amp;positioning_strategy=center_on_screen&amp;_doc_docfn=U2FsdGVkX1+sL9WbfMgM+Bpappzbjln7NMy3tKGWgemm//VTtL56WRpXCJfoe7FzGYQPR4AhyqbVFUgGaClU2xqnSQdnhqSm5+T5bPq8HrM=&amp;_app_id=central_doc_viewer&amp;center_on_screen=true&amp;width=950&amp;height=800&amp;_dd2=%26f%3Dsld%26c%3Dtrue%26os%3D1531854%26oe%3D1531863" TargetMode="External"/><Relationship Id="rId299" Type="http://schemas.openxmlformats.org/officeDocument/2006/relationships/hyperlink" Target="fdsup://factset/Doc%20Viewer%20Single?float_window=true&amp;positioning_strategy=center_on_screen&amp;_doc_docfn=U2FsdGVkX183wXO88ufEB+v/jnAkUh9zBtnEl4T4sM8u/dt8Cyf8lTltkAjJO4QKTYXm2vfxJpu5cpACPR2keYnM/l4FosKzAzqMDOIKHEA=&amp;_app_id=central_doc_viewer&amp;center_on_screen=true&amp;width=950&amp;height=800&amp;_dd2=%26f%3Dsld%26c%3Dtrue%26os%3D71610%26oe%3D71615" TargetMode="External"/><Relationship Id="rId21" Type="http://schemas.openxmlformats.org/officeDocument/2006/relationships/hyperlink" Target="fdsup://factset/Doc%20Viewer%20Single?float_window=true&amp;positioning_strategy=center_on_screen&amp;_doc_docfn=U2FsdGVkX19deg3shr3rR7AoKcr1IKRr1aCvPwEKdsAQdDRmVFdSByWMWjF/2ifnH+BhGSmgyNfOiqIQISQxHy1SS+BoxMkjBkKaIy58tmo=&amp;_app_id=central_doc_viewer&amp;center_on_screen=true&amp;width=950&amp;height=800&amp;_dd2=%26f%3Dsld%26c%3Dtrue%26os%3D159103%26oe%3D159110" TargetMode="External"/><Relationship Id="rId63" Type="http://schemas.openxmlformats.org/officeDocument/2006/relationships/hyperlink" Target="fdsup://factset/Doc%20Viewer%20Single?float_window=true&amp;positioning_strategy=center_on_screen&amp;_doc_docfn=U2FsdGVkX19gSI4RUO6/DAYoOfxE64Uz9LndBc7J1TWOx/VIYX3y1j1fmsyVtcYcXhNpgQSYhSEA+ppScUjAaH8gm2pzwtYmTvMCk1b9HX8=&amp;_app_id=central_doc_viewer&amp;center_on_screen=true&amp;width=950&amp;height=800&amp;_dd2=%26f%3Dsld%26c%3Dtrue%26os%3D164512%26oe%3D164518" TargetMode="External"/><Relationship Id="rId159" Type="http://schemas.openxmlformats.org/officeDocument/2006/relationships/hyperlink" Target="fdsup://factset/Doc%20Viewer%20Single?float_window=true&amp;positioning_strategy=center_on_screen&amp;_doc_docfn=U2FsdGVkX1+D7RNcgm6Z+crNgRgCw8gquY+2nEZQ9960SOECdLD436W/m2iGEXa/zO82gRtWNxSk6+Cpn3f9qBeK1iZ8qUdrSbBINsG3ALU=&amp;_app_id=central_doc_viewer&amp;center_on_screen=true&amp;width=950&amp;height=800&amp;_dd2=%26f%3Dsld%26c%3Dtrue%26os%3D1526358%26oe%3D1526363" TargetMode="External"/><Relationship Id="rId324" Type="http://schemas.openxmlformats.org/officeDocument/2006/relationships/hyperlink" Target="fdsup://factset/Doc%20Viewer%20Single?float_window=true&amp;positioning_strategy=center_on_screen&amp;_doc_docfn=U2FsdGVkX18x1kKwoJ1FSpa5dnTgSuF1ybAGOo8OIq1R/y5cmLUZbaaTE/UKuAVRC0uhL6rjpo8of/k16NePODMRJ1RBK9ObOrj1ir8JvJM=&amp;_app_id=central_doc_viewer&amp;center_on_screen=true&amp;width=950&amp;height=800&amp;_dd2=%26f%3Dsld%26c%3Dtrue%26os%3D64011%26oe%3D64017" TargetMode="External"/><Relationship Id="rId170" Type="http://schemas.openxmlformats.org/officeDocument/2006/relationships/hyperlink" Target="fdsup://factset/Doc%20Viewer%20Single?float_window=true&amp;positioning_strategy=center_on_screen&amp;_doc_docfn=U2FsdGVkX18kPM0NJbNzBGiJ8YYE4L1XMeVs9e2ZQl7wLBYm2gh5ecs+siS8nNgkGL53jGXftW7J7+apZFlpX50abWAuukB/q4xiI2BpfWY=&amp;_app_id=central_doc_viewer&amp;center_on_screen=true&amp;width=950&amp;height=800&amp;_dd2=%26f%3Dsld%26c%3Dtrue%26os%3D58696%26oe%3D58703" TargetMode="External"/><Relationship Id="rId226" Type="http://schemas.openxmlformats.org/officeDocument/2006/relationships/hyperlink" Target="fdsup://factset/Doc%20Viewer%20Single?float_window=true&amp;positioning_strategy=center_on_screen&amp;_doc_docfn=U2FsdGVkX1//0qhH8BDPTa3//DLPl8WD8qAIJJ82/jwGOS0pfkZJfHfXIjT2PjijBmMYbC0ThUdsEVgIhBgqJXmfjOL9w/LpMZ7jFInQh3w=&amp;_app_id=central_doc_viewer&amp;center_on_screen=true&amp;width=950&amp;height=800&amp;_dd2=%26f%3Dsld%26c%3Dtrue%26os%3D61872%26oe%3D61874" TargetMode="External"/><Relationship Id="rId268" Type="http://schemas.openxmlformats.org/officeDocument/2006/relationships/hyperlink" Target="fdsup://factset/Doc%20Viewer%20Single?float_window=true&amp;positioning_strategy=center_on_screen&amp;_doc_docfn=U2FsdGVkX1/M+rZK6vltAn56yB5xQLphocDrIDxP4ROzYgblZXhU80lnoQohtPVtdC98FkCJXytZPUfPhdxQgK663kc7hdriD78wfe2HArw=&amp;_app_id=central_doc_viewer&amp;center_on_screen=true&amp;width=950&amp;height=800&amp;_dd2=%26f%3Dsld%26c%3Dtrue%26os%3D70120%26oe%3D70129" TargetMode="External"/><Relationship Id="rId32" Type="http://schemas.openxmlformats.org/officeDocument/2006/relationships/hyperlink" Target="fdsup://factset/Doc%20Viewer%20Single?float_window=true&amp;positioning_strategy=center_on_screen&amp;_doc_docfn=U2FsdGVkX198CSR5FgB/M/5H3YsF6Esjf5Kw5ijIYxjbMtl5HvQzgCSX2eRVqhApDLEbEtyB+E3r6HNxGCXTdZEnOvvMSvZuB/oZhmh4UOc=&amp;_app_id=central_doc_viewer&amp;center_on_screen=true&amp;width=950&amp;height=800&amp;_dd2=%26f%3Dsld%26c%3Dtrue%26os%3D1397866%26oe%3D1397873" TargetMode="External"/><Relationship Id="rId74" Type="http://schemas.openxmlformats.org/officeDocument/2006/relationships/hyperlink" Target="fdsup://factset/Doc%20Viewer%20Single?float_window=true&amp;positioning_strategy=center_on_screen&amp;_doc_docfn=U2FsdGVkX1+kRj3hQX6dsh5eyfj3AuJXl3qA6kAfunjZPrFKSgbnUStOBuP8gNX73dsZ94zSjhDrAPEobyrHBWNR0O1cRdkZx4/mOLT+nfk=&amp;_app_id=central_doc_viewer&amp;center_on_screen=true&amp;width=950&amp;height=800&amp;_dd2=%26f%3Dsld%26c%3Dtrue%26os%3D122685%26oe%3D122691" TargetMode="External"/><Relationship Id="rId128" Type="http://schemas.openxmlformats.org/officeDocument/2006/relationships/hyperlink" Target="fdsup://factset/Doc%20Viewer%20Single?float_window=true&amp;positioning_strategy=center_on_screen&amp;_doc_docfn=U2FsdGVkX193gCxOPhzU144XQEkvXCvblX4mcCvQAoj6TPyUWEi2Rpfqraq2dU8FTPGvcxi+ahO/WiNVrQG+LmnlP+JCfUH8mRKL57I1Obs=&amp;_app_id=central_doc_viewer&amp;center_on_screen=true&amp;width=950&amp;height=800&amp;_dd2=%26f%3Dsld%26c%3Dtrue%26os%3D56559%26oe%3D56568" TargetMode="External"/><Relationship Id="rId335" Type="http://schemas.openxmlformats.org/officeDocument/2006/relationships/hyperlink" Target="fdsup://factset/Doc%20Viewer%20Single?float_window=true&amp;positioning_strategy=center_on_screen&amp;_doc_docfn=U2FsdGVkX1/zbZxnZVQhW6zWVROLSyrQQHKUBCFJ4Azoz50+oW6y4ljPODv0NuueW3TkjCBFAH4AlcqB3bEOhelUCFDvDmF/opreyK3ReHQ=&amp;_app_id=central_doc_viewer&amp;center_on_screen=true&amp;width=950&amp;height=800&amp;_dd2=%26f%3Dsld%26c%3Dtrue%26os%3D58980%26oe%3D58987" TargetMode="External"/><Relationship Id="rId5" Type="http://schemas.openxmlformats.org/officeDocument/2006/relationships/hyperlink" Target="fdsup://factset/Doc%20Viewer%20Single?float_window=true&amp;positioning_strategy=center_on_screen&amp;_doc_docfn=U2FsdGVkX1+eI04YWIgE7DhMk1+MmwVuWGYEVQMMj5ago9qp8ue+6q+d/CFenf3XfA6mTXKezxz8unDHT8DFIdhHVUtgk9f7fXHP6Qt1Ei4=&amp;_app_id=central_doc_viewer&amp;center_on_screen=true&amp;width=950&amp;height=800&amp;_dd2=%26f%3Dsld%26c%3Dtrue%26os%3D157701%26oe%3D157710" TargetMode="External"/><Relationship Id="rId181" Type="http://schemas.openxmlformats.org/officeDocument/2006/relationships/hyperlink" Target="fdsup://factset/Doc%20Viewer%20Single?float_window=true&amp;positioning_strategy=center_on_screen&amp;_doc_docfn=U2FsdGVkX1/Fdi0j0qjLHQihMCsjCiImxeytSwLwWH4v+itvCYb0YekF/kfA36SOto2Isgkz+oPl+GHeNaZKXdFRfDKQmuVCp85c+ZjMZKw=&amp;_app_id=central_doc_viewer&amp;center_on_screen=true&amp;width=950&amp;height=800&amp;_dd2=%26f%3Dsld%26c%3Dtrue%26os%3D63056%26oe%3D63063" TargetMode="External"/><Relationship Id="rId237" Type="http://schemas.openxmlformats.org/officeDocument/2006/relationships/hyperlink" Target="fdsup://factset/Doc%20Viewer%20Single?float_window=true&amp;positioning_strategy=center_on_screen&amp;_doc_docfn=U2FsdGVkX19BtVZxeWhoD/ZBjRC91BRvR3EW8xxtkWem2iKZvu5LIQyqln2cbH5RcaZNzsFTymfcyluxxr6VqY1z1OcQMkJgr+Km1xsbmKg=&amp;_app_id=central_doc_viewer&amp;center_on_screen=true&amp;width=950&amp;height=800&amp;_dd2=%26f%3Dsld%26c%3Dtrue%26os%3D65881%26oe%3D65887" TargetMode="External"/><Relationship Id="rId279" Type="http://schemas.openxmlformats.org/officeDocument/2006/relationships/hyperlink" Target="fdsup://factset/Doc%20Viewer%20Single?float_window=true&amp;positioning_strategy=center_on_screen&amp;_doc_docfn=U2FsdGVkX1+fDaDcWZIfwMvMjHwhocBQbnp212LzUKxqkOQpoOQMti4WIbruJHl318OQ2fN8DmnR6dxJs9xVeGiiGx3BOA9renO9jW+Bid0=&amp;_app_id=central_doc_viewer&amp;center_on_screen=true&amp;width=950&amp;height=800&amp;_dd2=%26f%3Dsld%26c%3Dtrue%26os%3D70021%26oe%3D70030" TargetMode="External"/><Relationship Id="rId43" Type="http://schemas.openxmlformats.org/officeDocument/2006/relationships/hyperlink" Target="fdsup://factset/Doc%20Viewer%20Single?float_window=true&amp;positioning_strategy=center_on_screen&amp;_doc_docfn=U2FsdGVkX1/AQeu5hWGEC6itvIrZby9ylgehbD2roIXySSFrvyA7Rp+oGQ11TOd4x5iY2q/QeXzWzxMgRV16DaLpOPu68qjp0EEWg7q1AIM=&amp;_app_id=central_doc_viewer&amp;center_on_screen=true&amp;width=950&amp;height=800&amp;_dd2=%26f%3Dsld%26c%3Dtrue%26os%3D125264%26oe%3D125267" TargetMode="External"/><Relationship Id="rId139" Type="http://schemas.openxmlformats.org/officeDocument/2006/relationships/hyperlink" Target="fdsup://factset/Doc%20Viewer%20Single?float_window=true&amp;positioning_strategy=center_on_screen&amp;_doc_docfn=U2FsdGVkX18orYpdWPyvQbmb8tmzhipVqC4dPyhNi/yxojWhZMol1N02mvBdatzt7dG+R+cMTO1TpDUlAQu0Tsqt4kwbZf7vLkBlcFbfiiA=&amp;_app_id=central_doc_viewer&amp;center_on_screen=true&amp;width=950&amp;height=800&amp;_dd2=%26f%3Dsld%26c%3Dtrue%26os%3D1368990%26oe%3D1368996" TargetMode="External"/><Relationship Id="rId290" Type="http://schemas.openxmlformats.org/officeDocument/2006/relationships/hyperlink" Target="fdsup://factset/Doc%20Viewer%20Single?float_window=true&amp;positioning_strategy=center_on_screen&amp;_doc_docfn=U2FsdGVkX1+5g2QuvKnYc2q5aQAWSMOPOTxJlQoQ896IZFeYP4wtn6eeg9V35Y/JgMuFJI4K4OLlUXaea2qEzpYcgOhiSDg+C+sGXBN5xeE=&amp;_app_id=central_doc_viewer&amp;center_on_screen=true&amp;width=950&amp;height=800&amp;_dd2=%26f%3Dsld%26c%3Dtrue%26os%3D1544711%26oe%3D1544719" TargetMode="External"/><Relationship Id="rId304" Type="http://schemas.openxmlformats.org/officeDocument/2006/relationships/hyperlink" Target="fdsup://factset/Doc%20Viewer%20Single?float_window=true&amp;positioning_strategy=center_on_screen&amp;_doc_docfn=U2FsdGVkX19g84+HrcHUrcrY2iji48tcNgw/Z+oA2WHEoa7qvdwVlNhOpIlAnilv2quG1iXcor4Affl/XS2w+TUakPq51vuq/aoVYnlp7hM=&amp;_app_id=central_doc_viewer&amp;center_on_screen=true&amp;width=950&amp;height=800&amp;_dd2=%26f%3Dsld%26c%3Dtrue%26os%3D73597%26oe%3D73600" TargetMode="External"/><Relationship Id="rId85" Type="http://schemas.openxmlformats.org/officeDocument/2006/relationships/hyperlink" Target="fdsup://factset/Doc%20Viewer%20Single?float_window=true&amp;positioning_strategy=center_on_screen&amp;_doc_docfn=U2FsdGVkX1+14Lbkh1GP71w8n10BZj5y3rJyx3t9ruT+24BCibfHtA1Xd7yWaHyzmu3HD8336BYq/Ct/DAPqFeZMTKuXzxqto4Msy9C9Nc0=&amp;_app_id=central_doc_viewer&amp;center_on_screen=true&amp;width=950&amp;height=800&amp;_dd2=%26f%3Dsld%26c%3Dtrue%26os%3D165471%26oe%3D165479" TargetMode="External"/><Relationship Id="rId150" Type="http://schemas.openxmlformats.org/officeDocument/2006/relationships/hyperlink" Target="fdsup://factset/Doc%20Viewer%20Single?float_window=true&amp;positioning_strategy=center_on_screen&amp;_doc_docfn=U2FsdGVkX1/haj3+zEmqo6Fg5GBkZdnLHeLn0nOh9u73irTjLdKcPxWwvkm5jwd3WZw03iol9tG0lJicD/UdBjFYn7HuQYUDNzGTGkrfdk4=&amp;_app_id=central_doc_viewer&amp;center_on_screen=true&amp;width=950&amp;height=800&amp;_dd2=%26f%3Dsld%26c%3Dtrue%26os%3D57994%26oe%3D58000" TargetMode="External"/><Relationship Id="rId192" Type="http://schemas.openxmlformats.org/officeDocument/2006/relationships/hyperlink" Target="fdsup://factset/Doc%20Viewer%20Single?float_window=true&amp;positioning_strategy=center_on_screen&amp;_doc_docfn=U2FsdGVkX1/zwpoMO1ULMqtzWENv5JTE1dy7CMtCOJboOsvhYRw2HWma0o60bRui80Ihl+vjo415eiL70eCgyCXKvN3ARmKk5uwJriC9Mjk=&amp;_app_id=central_doc_viewer&amp;center_on_screen=true&amp;width=950&amp;height=800&amp;_dd2=%26f%3Dsld%26c%3Dtrue%26os%3D70652%26oe%3D70661" TargetMode="External"/><Relationship Id="rId206" Type="http://schemas.openxmlformats.org/officeDocument/2006/relationships/hyperlink" Target="fdsup://factset/Doc%20Viewer%20Single?float_window=true&amp;positioning_strategy=center_on_screen&amp;_doc_docfn=U2FsdGVkX19GYruIbwHIrLvBR/eP4duPLFYblBDGEFVuzLXTRy1cD13OEFyEaULGfs4p5AnMMEkHW+i4EO8GhQvwdEsy/x5gPCs1RzAy9+M=&amp;_app_id=central_doc_viewer&amp;center_on_screen=true&amp;width=950&amp;height=800&amp;_dd2=%26f%3Dsld%26c%3Dtrue%26os%3D64471%26oe%3D64478" TargetMode="External"/><Relationship Id="rId248" Type="http://schemas.openxmlformats.org/officeDocument/2006/relationships/hyperlink" Target="fdsup://factset/Doc%20Viewer%20Single?float_window=true&amp;positioning_strategy=center_on_screen&amp;_doc_docfn=U2FsdGVkX1/sTE8knZleWGVL1KVJDIZv1yoCppIBxUf0sEpwnT9RWH7BWA4v/zZ3aS5JF/ewkP/hJ09MA56OQVaaKT7LLRiLiVOIrtoxNaI=&amp;_app_id=central_doc_viewer&amp;center_on_screen=true&amp;width=950&amp;height=800&amp;_dd2=%26f%3Dsld%26c%3Dtrue%26os%3D1538525%26oe%3D1538531" TargetMode="External"/><Relationship Id="rId12" Type="http://schemas.openxmlformats.org/officeDocument/2006/relationships/hyperlink" Target="fdsup://factset/Doc%20Viewer%20Single?float_window=true&amp;positioning_strategy=center_on_screen&amp;_doc_docfn=U2FsdGVkX19biiw59i3fOiqTro996UueSHTPXtUyecI8A9p41Zkxu3llzRR5Q/KWDh/zN4SHcVl9P0DNlLRBYMyni/wsMmM5DVcPlCLzrbg=&amp;_app_id=central_doc_viewer&amp;center_on_screen=true&amp;width=950&amp;height=800&amp;_dd2=%26f%3Dsld%26c%3Dtrue%26os%3D117365%26oe%3D117372" TargetMode="External"/><Relationship Id="rId108" Type="http://schemas.openxmlformats.org/officeDocument/2006/relationships/hyperlink" Target="fdsup://factset/Doc%20Viewer%20Single?float_window=true&amp;positioning_strategy=center_on_screen&amp;_doc_docfn=U2FsdGVkX1+vhb8pjvTQCM7dGd5cyxoJ3zKXDrpIsJqUu34GNOpx30yill0Lp1QLm9vrJWoNwXkR3WGsnwD8L1oEbgXrkfTBbPzTgyWT054=&amp;_app_id=central_doc_viewer&amp;center_on_screen=true&amp;width=950&amp;height=800&amp;_dd2=%26f%3Dsld%26c%3Dtrue%26os%3D136926%26oe%3D136937" TargetMode="External"/><Relationship Id="rId315" Type="http://schemas.openxmlformats.org/officeDocument/2006/relationships/hyperlink" Target="fdsup://factset/Doc%20Viewer%20Single?float_window=true&amp;positioning_strategy=center_on_screen&amp;_doc_docfn=U2FsdGVkX194lxrRS/crSBjFu6Ic5eIYhbnI3gEpabROOkDULaMbkqlt9d/R3D2UCXGVuG0kSQ0Pb44IhEVwk6nH5QNAaxccnrf9Cnlw9Dw=&amp;_app_id=central_doc_viewer&amp;center_on_screen=true&amp;width=950&amp;height=800&amp;_dd2=%26f%3Dsld%26c%3Dtrue%26os%3D69698%26oe%3D69699" TargetMode="External"/><Relationship Id="rId54" Type="http://schemas.openxmlformats.org/officeDocument/2006/relationships/hyperlink" Target="fdsup://factset/Doc%20Viewer%20Single?float_window=true&amp;positioning_strategy=center_on_screen&amp;_doc_docfn=U2FsdGVkX18qF+uxwOiMUuU4/xcSHkHEPL514fGin8cqYvirFqEEPUgA7XhkgMKynBghMEMYBMGtT80tU9FT3/+4LhkzkVxumapVUI/NOhk=&amp;_app_id=central_doc_viewer&amp;center_on_screen=true&amp;width=950&amp;height=800&amp;_dd2=%26f%3Dsld%26c%3Dtrue%26os%3D121043%26oe%3D121051" TargetMode="External"/><Relationship Id="rId96" Type="http://schemas.openxmlformats.org/officeDocument/2006/relationships/hyperlink" Target="fdsup://factset/Doc%20Viewer%20Single?float_window=true&amp;positioning_strategy=center_on_screen&amp;_doc_docfn=U2FsdGVkX198H0Mg7tx81rUaB+V+n4pkDroGpQik5wIu1N8Ucf0JzVORw+cZKlYgUEcYf7J1tGqGPosUZwueduLVo6r0+zrLw8kXjUuwCd8=&amp;_app_id=central_doc_viewer&amp;center_on_screen=true&amp;width=950&amp;height=800&amp;_dd2=%26f%3Dsld%26c%3Dtrue%26os%3D130573%26oe%3D130580" TargetMode="External"/><Relationship Id="rId161" Type="http://schemas.openxmlformats.org/officeDocument/2006/relationships/hyperlink" Target="fdsup://factset/Doc%20Viewer%20Single?float_window=true&amp;positioning_strategy=center_on_screen&amp;_doc_docfn=U2FsdGVkX1+tCbtwqZZuDQXxp98k+W7xQLfdr1Fl3vniKwSqF9Rh70YBP7idgp5YtxqG9eT7SEsC5VQb5Boe7JslwMGOpYBWeJKK0yVrFWg=&amp;_app_id=central_doc_viewer&amp;center_on_screen=true&amp;width=950&amp;height=800&amp;_dd2=%26f%3Dsld%26c%3Dtrue%26os%3D61825%26oe%3D61832" TargetMode="External"/><Relationship Id="rId217" Type="http://schemas.openxmlformats.org/officeDocument/2006/relationships/hyperlink" Target="fdsup://factset/Doc%20Viewer%20Single?float_window=true&amp;positioning_strategy=center_on_screen&amp;_doc_docfn=U2FsdGVkX18mmW5rPXCjeE80J0KRvzJ0Ni8FIFAON8AGhAfiXrbHLNVHfSV3pDC8eqsQg2BsaZmLSDYCaMPZq+aZgcs8YYPJMGerdJEXmmw=&amp;_app_id=central_doc_viewer&amp;center_on_screen=true&amp;width=950&amp;height=800&amp;_dd2=%26f%3Dsld%26c%3Dtrue%26os%3D1378016%26oe%3D1378022" TargetMode="External"/><Relationship Id="rId259" Type="http://schemas.openxmlformats.org/officeDocument/2006/relationships/hyperlink" Target="fdsup://factset/Doc%20Viewer%20Single?float_window=true&amp;positioning_strategy=center_on_screen&amp;_doc_docfn=U2FsdGVkX1+FaW0d5XjXIHFVy9hXWrhO6Zp2BXvVXEqxtReiSUzxueNmMDfxhT6ugt25wgag/v1J9MROFTFlLV7GrGMVQR0WjbmHOFox83A=&amp;_app_id=central_doc_viewer&amp;center_on_screen=true&amp;width=950&amp;height=800&amp;_dd2=%26f%3Dsld%26c%3Dtrue%26os%3D65969%26oe%3D65976" TargetMode="External"/><Relationship Id="rId23" Type="http://schemas.openxmlformats.org/officeDocument/2006/relationships/hyperlink" Target="fdsup://factset/Doc%20Viewer%20Single?float_window=true&amp;positioning_strategy=center_on_screen&amp;_doc_docfn=U2FsdGVkX19YllD+Ce1uqIXCBtlO0TEd3cLAXYq2V7iWCGPbri4dsjw1BXg8PCBa8MYXwRtcoRZe2dHUNZHMnOLZVMt9k8Om2gf8UNAZivU=&amp;_app_id=central_doc_viewer&amp;center_on_screen=true&amp;width=950&amp;height=800&amp;_dd2=%26f%3Dsld%26c%3Dtrue%26os%3D1396591%26oe%3D1396598" TargetMode="External"/><Relationship Id="rId119" Type="http://schemas.openxmlformats.org/officeDocument/2006/relationships/hyperlink" Target="fdsup://factset/Doc%20Viewer%20Single?float_window=true&amp;positioning_strategy=center_on_screen&amp;_doc_docfn=U2FsdGVkX180xxXdfs0AQljt3ab35W5e/TOxohXPC6RZPkijmDCteBQc1ARw3uI4YHwocnMnUjqfdvDBwryIi35z2od7+enJNTw4ya5DHN0=&amp;_app_id=central_doc_viewer&amp;center_on_screen=true&amp;width=950&amp;height=800&amp;_dd2=%26f%3Dsld%26c%3Dtrue%26os%3D61142%26oe%3D61149" TargetMode="External"/><Relationship Id="rId270" Type="http://schemas.openxmlformats.org/officeDocument/2006/relationships/hyperlink" Target="fdsup://factset/Doc%20Viewer%20Single?float_window=true&amp;positioning_strategy=center_on_screen&amp;_doc_docfn=U2FsdGVkX1+MVBifOIafK52iZQEx4Z3doHmwNXcBvsQLT7QvxJPMtcf4Xw0e+3CBpD/Fck9jVH0z+725IH+gnYD2tfipY2BHfa/9m5WvjOE=&amp;_app_id=central_doc_viewer&amp;center_on_screen=true&amp;width=950&amp;height=800&amp;_dd2=%26f%3Dsld%26c%3Dtrue%26os%3D72856%26oe%3D72865" TargetMode="External"/><Relationship Id="rId326" Type="http://schemas.openxmlformats.org/officeDocument/2006/relationships/hyperlink" Target="fdsup://factset/Doc%20Viewer%20Single?float_window=true&amp;positioning_strategy=center_on_screen&amp;_doc_docfn=U2FsdGVkX18uCBAqa767mfDeEd4wbmN+vsE+SSGsxzqPU1Ie+aVTRxIXoofMQVY6WJkCbP1thaIXhnxEyLzjsfZNNg8HsthUuv1DUnBjqF4=&amp;_app_id=central_doc_viewer&amp;center_on_screen=true&amp;width=950&amp;height=800&amp;_dd2=%26f%3Dsld%26c%3Dtrue%26os%3D66007%26oe%3D66014" TargetMode="External"/><Relationship Id="rId65" Type="http://schemas.openxmlformats.org/officeDocument/2006/relationships/hyperlink" Target="fdsup://factset/Doc%20Viewer%20Single?float_window=true&amp;positioning_strategy=center_on_screen&amp;_doc_docfn=U2FsdGVkX1+3YZTW+qFdNWd82iQgJxbmT7dHRRJ0XXBLEZMBQw776XozbofRsHOvhVqkKgjzbhcoxfmhrTsxrnIUOm/TftgREHdHc5/ZrvQ=&amp;_app_id=central_doc_viewer&amp;center_on_screen=true&amp;width=950&amp;height=800&amp;_dd2=%26f%3Dsld%26c%3Dtrue%26os%3D1404116%26oe%3D1404123" TargetMode="External"/><Relationship Id="rId130" Type="http://schemas.openxmlformats.org/officeDocument/2006/relationships/hyperlink" Target="fdsup://factset/Doc%20Viewer%20Single?float_window=true&amp;positioning_strategy=center_on_screen&amp;_doc_docfn=U2FsdGVkX1+VhdBJFA7wlxxZiz9+UqtF7sKczx9bHT1IwDIocWwkCJQVkXefdZCmPwY9lhw5WajTOeLg59b3hloKAq1Q16jEdad+hR5kzVM=&amp;_app_id=central_doc_viewer&amp;center_on_screen=true&amp;width=950&amp;height=800&amp;_dd2=%26f%3Dsld%26c%3Dtrue%26os%3D60543%26oe%3D60552" TargetMode="External"/><Relationship Id="rId172" Type="http://schemas.openxmlformats.org/officeDocument/2006/relationships/hyperlink" Target="fdsup://factset/Doc%20Viewer%20Single?float_window=true&amp;positioning_strategy=center_on_screen&amp;_doc_docfn=U2FsdGVkX1+lkYv2fZeeBfE56E7c+Usst2WlSfCubmepiYdsFJDnoGHMZbpCT8yLTVno+YXRhNY4tM98K5jlDHQUUbkRz1lFIBttiP8KxRk=&amp;_app_id=central_doc_viewer&amp;center_on_screen=true&amp;width=950&amp;height=800&amp;_dd2=%26f%3Dsld%26c%3Dtrue%26os%3D1528811%26oe%3D1528818" TargetMode="External"/><Relationship Id="rId228" Type="http://schemas.openxmlformats.org/officeDocument/2006/relationships/hyperlink" Target="fdsup://factset/Doc%20Viewer%20Single?float_window=true&amp;positioning_strategy=center_on_screen&amp;_doc_docfn=U2FsdGVkX19VxieA9ibGmN5ctp7GeJX18pDTmkaHGKd4xEdchF1Z/3pxDTkRRvV3bebXhciuZQTb139yMUMu8Y+Qkms6/MMqPSlANb2SZI0=&amp;_app_id=central_doc_viewer&amp;center_on_screen=true&amp;width=950&amp;height=800&amp;_dd2=%26f%3Dsld%26c%3Dtrue%26os%3D1535425%26oe%3D1535431" TargetMode="External"/><Relationship Id="rId281" Type="http://schemas.openxmlformats.org/officeDocument/2006/relationships/hyperlink" Target="fdsup://factset/Doc%20Viewer%20Single?float_window=true&amp;positioning_strategy=center_on_screen&amp;_doc_docfn=U2FsdGVkX1/NBfqfuZnvgQ+e3FrFhIoshHrcLH5JzU2/vBgD7khSSLyoH7G/7mCU+3fmilz1TT2eFFl6l/VGq43Pq8Bj25LuAs7ZCltz3bw=&amp;_app_id=central_doc_viewer&amp;center_on_screen=true&amp;width=950&amp;height=800&amp;_dd2=%26f%3Dsld%26c%3Dtrue%26os%3D67012%26oe%3D67021" TargetMode="External"/><Relationship Id="rId337" Type="http://schemas.openxmlformats.org/officeDocument/2006/relationships/hyperlink" Target="fdsup://factset/Doc%20Viewer%20Single?float_window=true&amp;positioning_strategy=center_on_screen&amp;_doc_docfn=U2FsdGVkX1+OtWLRCmJh+V7vTbeDJjI0sYRIqAu0Ujma3oAQljIe/gvROVl0t1LiHMdoPGMI3/PYtXApRioxOISvug0++pwSTj/9MoxCQwk=&amp;_app_id=central_doc_viewer&amp;center_on_screen=true&amp;width=950&amp;height=800&amp;_dd2=%26f%3Dsld%26c%3Dtrue%26os%3D58007%26oe%3D58014" TargetMode="External"/><Relationship Id="rId34" Type="http://schemas.openxmlformats.org/officeDocument/2006/relationships/hyperlink" Target="fdsup://factset/Doc%20Viewer%20Single?float_window=true&amp;positioning_strategy=center_on_screen&amp;_doc_docfn=U2FsdGVkX1/7sURqwpxCpqB+Pwb7l+AFnomblg8CIQICD9KR1ShGnoqfhbneMw5gF0IJVAQ0nxjaxBEP/fGOIyJEG89UphxWJ90yEsKe+zQ=&amp;_app_id=central_doc_viewer&amp;center_on_screen=true&amp;width=950&amp;height=800&amp;_dd2=%26f%3Dsld%26c%3Dtrue%26os%3D124327%26oe%3D124328" TargetMode="External"/><Relationship Id="rId76" Type="http://schemas.openxmlformats.org/officeDocument/2006/relationships/hyperlink" Target="fdsup://factset/Doc%20Viewer%20Single?float_window=true&amp;positioning_strategy=center_on_screen&amp;_doc_docfn=U2FsdGVkX1//WsHhrsvGGXtxNqBFCIzzJYTozsA66i99Rx1GwV5Q8eoJaMy+P5yJ913upzUuwcaqIIzZrYXXZmuO7agp2HclcqL0MO9FjAY=&amp;_app_id=central_doc_viewer&amp;center_on_screen=true&amp;width=950&amp;height=800&amp;_dd2=%26f%3Dsld%26c%3Dtrue%26os%3D166840%26oe%3D166841" TargetMode="External"/><Relationship Id="rId141" Type="http://schemas.openxmlformats.org/officeDocument/2006/relationships/hyperlink" Target="fdsup://factset/Doc%20Viewer%20Single?float_window=true&amp;positioning_strategy=center_on_screen&amp;_doc_docfn=U2FsdGVkX19rDR3KxCSYFevgUkkLltYGXWTHwfXOOM5ZQDDJ2QUIchObOkXdMCcOyErAPKX63kq8balAXbB8aPX73MotwBK6ZLQD7tf4vsM=&amp;_app_id=central_doc_viewer&amp;center_on_screen=true&amp;width=950&amp;height=800&amp;_dd2=%26f%3Dsld%26c%3Dtrue%26os%3D59924%26oe%3D59931" TargetMode="External"/><Relationship Id="rId7" Type="http://schemas.openxmlformats.org/officeDocument/2006/relationships/hyperlink" Target="fdsup://factset/Doc%20Viewer%20Single?float_window=true&amp;positioning_strategy=center_on_screen&amp;_doc_docfn=U2FsdGVkX1/uxuAaIkg8qhk8iKSI8RHB8H1pHcgVAIrGLliFWeSCxDd+BWYn4QPkTTzpH32xu/4uv8zf4AHmQ7liSYl0n1LSqHIMSuMvIHY=&amp;_app_id=central_doc_viewer&amp;center_on_screen=true&amp;width=950&amp;height=800&amp;_dd2=%26f%3Dsld%26c%3Dtrue%26os%3D1394726%26oe%3D1394733" TargetMode="External"/><Relationship Id="rId183" Type="http://schemas.openxmlformats.org/officeDocument/2006/relationships/hyperlink" Target="fdsup://factset/Doc%20Viewer%20Single?float_window=true&amp;positioning_strategy=center_on_screen&amp;_doc_docfn=U2FsdGVkX19qsZoN6vQZRP5Lbzxb6UqJSkNfXhbYTi86MtHFj8ELriDaD/A/hEe+whYN8CBBnBFxUZgE8MjJeYwOlgKRJmje2RimvEL0SD8=&amp;_app_id=central_doc_viewer&amp;center_on_screen=true&amp;width=950&amp;height=800&amp;_dd2=%26f%3Dsld%26c%3Dtrue%26os%3D60863%26oe%3D60869" TargetMode="External"/><Relationship Id="rId239" Type="http://schemas.openxmlformats.org/officeDocument/2006/relationships/hyperlink" Target="fdsup://factset/Doc%20Viewer%20Single?float_window=true&amp;positioning_strategy=center_on_screen&amp;_doc_docfn=U2FsdGVkX19bMiCbqFKKrxOVeW2jN4G/RihxCGLLX3+JfAWOhm7L8mPKbDPCiCw5CZoVLFFcbdX8VMJlxbCzf+VrYjsSxlg4m/YXn8Nm0rw=&amp;_app_id=central_doc_viewer&amp;center_on_screen=true&amp;width=950&amp;height=800&amp;_dd2=%26f%3Dsld%26c%3Dtrue%26os%3D62854%26oe%3D62860" TargetMode="External"/><Relationship Id="rId250" Type="http://schemas.openxmlformats.org/officeDocument/2006/relationships/hyperlink" Target="fdsup://factset/Doc%20Viewer%20Single?float_window=true&amp;positioning_strategy=center_on_screen&amp;_doc_docfn=U2FsdGVkX182rsfXpquiZtXfX7wj9ZscHr1w5emFNrqb2oRgQEF1pKFmRz9zvNldHLFz7k+GO02GmWqtgPVrwM4wZQfuB0WyhhGZjuBhgbY=&amp;_app_id=central_doc_viewer&amp;center_on_screen=true&amp;width=950&amp;height=800&amp;_dd2=%26f%3Dsld%26c%3Dtrue%26os%3D67160%26oe%3D67167" TargetMode="External"/><Relationship Id="rId292" Type="http://schemas.openxmlformats.org/officeDocument/2006/relationships/hyperlink" Target="fdsup://factset/Doc%20Viewer%20Single?float_window=true&amp;positioning_strategy=center_on_screen&amp;_doc_docfn=U2FsdGVkX1+S4IvhGNKCfkrY3SJKDPcho7vuguoyV37sZzp0hDaBQe+lf1FyZIDAGwH7koX7Lx6Hh2FJfMTnLmpj4MRurelYjFzIZJd0PQs=&amp;_app_id=central_doc_viewer&amp;center_on_screen=true&amp;width=950&amp;height=800&amp;_dd2=%26f%3Dsld%26c%3Dtrue%26os%3D70883%26oe%3D70890" TargetMode="External"/><Relationship Id="rId306" Type="http://schemas.openxmlformats.org/officeDocument/2006/relationships/hyperlink" Target="fdsup://factset/Doc%20Viewer%20Single?float_window=true&amp;positioning_strategy=center_on_screen&amp;_doc_docfn=U2FsdGVkX19WzTNkFJUfNPiJxPM8WTizo5dqDLjCswK5vzbzshxfKsM/C4Qq6PI1dt2J4ZVyXoxW4S+B1tbc7tR9CWLt0GTpfjSi1sfkqfE=&amp;_app_id=central_doc_viewer&amp;center_on_screen=true&amp;width=950&amp;height=800&amp;_dd2=%26f%3Dsld%26c%3Dtrue%26os%3D70056%26oe%3D70061" TargetMode="External"/><Relationship Id="rId45" Type="http://schemas.openxmlformats.org/officeDocument/2006/relationships/hyperlink" Target="fdsup://factset/Doc%20Viewer%20Single?float_window=true&amp;positioning_strategy=center_on_screen&amp;_doc_docfn=U2FsdGVkX18w4VGpR7de90YeA4V9ug6Ttyf+dVoDOXnPGPaz0fonzz1TaxumdM/kWEFk5HrBIvC6SXsabxYRip7J0oodyyCqEHN+79GHnnA=&amp;_app_id=central_doc_viewer&amp;center_on_screen=true&amp;width=950&amp;height=800&amp;_dd2=%26f%3Dsld%26c%3Dtrue%26os%3D122642%26oe%3D122647" TargetMode="External"/><Relationship Id="rId87" Type="http://schemas.openxmlformats.org/officeDocument/2006/relationships/hyperlink" Target="fdsup://factset/Doc%20Viewer%20Single?float_window=true&amp;positioning_strategy=center_on_screen&amp;_doc_docfn=U2FsdGVkX18Ygb6f8U2fmDwffHYIiXn/P4b8ZLE+GEDEm40JfHhf0hx4KWsohhvcdQCLW9p7mSUEIl16fPMggujwBakmUSqCYph+E8Q3CEM=&amp;_app_id=central_doc_viewer&amp;center_on_screen=true&amp;width=950&amp;height=800&amp;_dd2=%26f%3Dsld%26c%3Dtrue%26os%3D1405397%26oe%3D1405404" TargetMode="External"/><Relationship Id="rId110" Type="http://schemas.openxmlformats.org/officeDocument/2006/relationships/hyperlink" Target="fdsup://factset/Doc%20Viewer%20Single?float_window=true&amp;positioning_strategy=center_on_screen&amp;_doc_docfn=U2FsdGVkX1+ZGuSIMF+yFdGzhoBk3HUnU4ZisSEq5x9PocXJE6aV0nLXeKC/UxoQ1GdfSQJDJc5M1SBTwoorKbqsgb+8vs34cFSRGOVsZ+c=&amp;_app_id=central_doc_viewer&amp;center_on_screen=true&amp;width=950&amp;height=800&amp;_dd2=%26f%3Dsld%26c%3Dtrue%26os%3D137394%26oe%3D137405" TargetMode="External"/><Relationship Id="rId152" Type="http://schemas.openxmlformats.org/officeDocument/2006/relationships/hyperlink" Target="fdsup://factset/Doc%20Viewer%20Single?float_window=true&amp;positioning_strategy=center_on_screen&amp;_doc_docfn=U2FsdGVkX189X10svdzLFu083sgW/wHCoUn9LJAA0+CV5/5wEXM0WDTvGKo2KXqKqdCPm5pZZr+uhhPv+56NTpKkWuRfpLTSnu0MB8+fPRg=&amp;_app_id=central_doc_viewer&amp;center_on_screen=true&amp;width=950&amp;height=800&amp;_dd2=%26f%3Dsld%26c%3Dtrue%26os%3D62019%26oe%3D62024" TargetMode="External"/><Relationship Id="rId173" Type="http://schemas.openxmlformats.org/officeDocument/2006/relationships/hyperlink" Target="fdsup://factset/Doc%20Viewer%20Single?float_window=true&amp;positioning_strategy=center_on_screen&amp;_doc_docfn=U2FsdGVkX19YooDswgWSIjv7T+cvBB3ZYDox+68jhRVtWoY/vmAt+Gui+kAx6ES0T3gb4g465MrE1fD/mLg6Eo0/7negc4ndWc03Ck9VB1c=&amp;_app_id=central_doc_viewer&amp;center_on_screen=true&amp;width=950&amp;height=800&amp;_dd2=%26f%3Dsld%26c%3Dtrue%26os%3D1372678%26oe%3D1372685" TargetMode="External"/><Relationship Id="rId194" Type="http://schemas.openxmlformats.org/officeDocument/2006/relationships/hyperlink" Target="fdsup://factset/Doc%20Viewer%20Single?float_window=true&amp;positioning_strategy=center_on_screen&amp;_doc_docfn=U2FsdGVkX1/Raumbv9hfcqwhFXGj6sGkiAiKvCLPQ1nxsJ1NrmkXciqfHlWQf6eXXFW+SLvyYst+5MiP2NB+T2QW9kQQLOhmpq3xgBZVwjM=&amp;_app_id=central_doc_viewer&amp;center_on_screen=true&amp;width=950&amp;height=800&amp;_dd2=%26f%3Dsld%26c%3Dtrue%26os%3D73402%26oe%3D73411" TargetMode="External"/><Relationship Id="rId208" Type="http://schemas.openxmlformats.org/officeDocument/2006/relationships/hyperlink" Target="fdsup://factset/Doc%20Viewer%20Single?float_window=true&amp;positioning_strategy=center_on_screen&amp;_doc_docfn=U2FsdGVkX1838mKrRvr0AlU6sum1YXmbApVY2vRzuZsTygPir7PCeI8fHG0MreTLS+hDgLtMRTchakTKE+muqe7+e6PdBNzLHPTEFd1c/QU=&amp;_app_id=central_doc_viewer&amp;center_on_screen=true&amp;width=950&amp;height=800&amp;_dd2=%26f%3Dsld%26c%3Dtrue%26os%3D68168%26oe%3D68175" TargetMode="External"/><Relationship Id="rId229" Type="http://schemas.openxmlformats.org/officeDocument/2006/relationships/hyperlink" Target="fdsup://factset/Doc%20Viewer%20Single?float_window=true&amp;positioning_strategy=center_on_screen&amp;_doc_docfn=U2FsdGVkX1+GUw0GmrcfE+VpsIrUpNBCN96sKRujjjC98ujV1VIdu1F5qwmut6LHnktlrDlWz8UoegBwFLvXsED125tNWkPz17f1wm9hg6E=&amp;_app_id=central_doc_viewer&amp;center_on_screen=true&amp;width=950&amp;height=800&amp;_dd2=%26f%3Dsld%26c%3Dtrue%26os%3D1379211%26oe%3D1379217" TargetMode="External"/><Relationship Id="rId240" Type="http://schemas.openxmlformats.org/officeDocument/2006/relationships/hyperlink" Target="fdsup://factset/Doc%20Viewer%20Single?float_window=true&amp;positioning_strategy=center_on_screen&amp;_doc_docfn=U2FsdGVkX19nyVoMEWVI/lOcxR8vKiu6s5mp0GqBXGxcaNgNSah9OQiiFoPVGtNwi/ai9BbtxshI8cREpuWGENxIUPvzCsyNI0Jq3Xe6xDg=&amp;_app_id=central_doc_viewer&amp;center_on_screen=true&amp;width=950&amp;height=800&amp;_dd2=%26f%3Dsld%26c%3Dtrue%26os%3D67674%26oe%3D67680" TargetMode="External"/><Relationship Id="rId261" Type="http://schemas.openxmlformats.org/officeDocument/2006/relationships/hyperlink" Target="fdsup://factset/Doc%20Viewer%20Single?float_window=true&amp;positioning_strategy=center_on_screen&amp;_doc_docfn=U2FsdGVkX1+nZ8T3o6oKIRWKmjxy++f7+N//nhICDy+TQ1PGt72YxhfwNBiU4iYnnqqmCtzN1LjL7LrVaxE3dJZ5tPX0KGUch40ITD55ilI=&amp;_app_id=central_doc_viewer&amp;center_on_screen=true&amp;width=950&amp;height=800&amp;_dd2=%26f%3Dsld%26c%3Dtrue%26os%3D69705%26oe%3D69711" TargetMode="External"/><Relationship Id="rId14" Type="http://schemas.openxmlformats.org/officeDocument/2006/relationships/hyperlink" Target="fdsup://factset/Doc%20Viewer%20Single?float_window=true&amp;positioning_strategy=center_on_screen&amp;_doc_docfn=U2FsdGVkX18yCSZj3WUxZaKIQ9y0UJiBpjRpC7CHRBE1y/2kZ2vkpeunQnDNNnHMUeF7i3//7xOcoNf1ZK4m/CXGLGbvNRSl1BQQAXcz4ks=&amp;_app_id=central_doc_viewer&amp;center_on_screen=true&amp;width=950&amp;height=800&amp;_dd2=%26f%3Dsld%26c%3Dtrue%26os%3D161535%26oe%3D161542" TargetMode="External"/><Relationship Id="rId35" Type="http://schemas.openxmlformats.org/officeDocument/2006/relationships/hyperlink" Target="fdsup://factset/Doc%20Viewer%20Single?float_window=true&amp;positioning_strategy=center_on_screen&amp;_doc_docfn=U2FsdGVkX18pYcd5YeeTNsaTQo4cvFu0KjvRKCzMthL6fC+pB4VUbEYPKXgVv4m8B4U+0EwWx1x43lZojgdGbeAppxgU8Und2khDV8G3dSA=&amp;_app_id=central_doc_viewer&amp;center_on_screen=true&amp;width=950&amp;height=800&amp;_dd2=%26f%3Dsld%26c%3Dtrue%26os%3D124518%26oe%3D124523" TargetMode="External"/><Relationship Id="rId56" Type="http://schemas.openxmlformats.org/officeDocument/2006/relationships/hyperlink" Target="fdsup://factset/Doc%20Viewer%20Single?float_window=true&amp;positioning_strategy=center_on_screen&amp;_doc_docfn=U2FsdGVkX19aB5zujJeNqjkOtL6GZArkgF5XkhPWkTyyS2V4JG4jsX2c5+bC43JkNw8cpBO1xMWtVKfyEVKpyQvswMXUzAL69R3VIJHUkU0=&amp;_app_id=central_doc_viewer&amp;center_on_screen=true&amp;width=950&amp;height=800&amp;_dd2=%26f%3Dsld%26c%3Dtrue%26os%3D165229%26oe%3D165235" TargetMode="External"/><Relationship Id="rId77" Type="http://schemas.openxmlformats.org/officeDocument/2006/relationships/hyperlink" Target="fdsup://factset/Doc%20Viewer%20Single?float_window=true&amp;positioning_strategy=center_on_screen&amp;_doc_docfn=U2FsdGVkX1/vrS6zSTeSWYoytpiGsCPsWoVNaEeAgG2eouRE4IdFcwfGvCk3pJGeUAlKp5jDqJqKbm9VOXN8aBbEiEZ7lYcUGR1gsl1oXmQ=&amp;_app_id=central_doc_viewer&amp;center_on_screen=true&amp;width=950&amp;height=800&amp;_dd2=%26f%3Dsld%26c%3Dtrue%26os%3D127548%26oe%3D127556" TargetMode="External"/><Relationship Id="rId100" Type="http://schemas.openxmlformats.org/officeDocument/2006/relationships/hyperlink" Target="fdsup://factset/Doc%20Viewer%20Single?float_window=true&amp;positioning_strategy=center_on_screen&amp;_doc_docfn=U2FsdGVkX18IeH431N+SqFnb4PVvORR/YIPO9SHvrUCWRL8xUkuqCMARlgHovDkqtjFDoZMgBpIc/z3G0y3Lk0Ll+6tW0HQsz6mtm4MsDYY=&amp;_app_id=central_doc_viewer&amp;center_on_screen=true&amp;width=950&amp;height=800&amp;_dd2=%26f%3Dsld%26c%3Dtrue%26os%3D125807%26oe%3D125818" TargetMode="External"/><Relationship Id="rId282" Type="http://schemas.openxmlformats.org/officeDocument/2006/relationships/hyperlink" Target="fdsup://factset/Doc%20Viewer%20Single?float_window=true&amp;positioning_strategy=center_on_screen&amp;_doc_docfn=U2FsdGVkX1+87heEyU9+kDc7vGtkug0Hns/EANaMHWlwpaPbVBbi5eX6xhHWhTMpzVMXKsvnKiH1vFbioB6o7PUWmUjoG/8x7j1cMOutwls=&amp;_app_id=central_doc_viewer&amp;center_on_screen=true&amp;width=950&amp;height=800&amp;_dd2=%26f%3Dsld%26c%3Dtrue%26os%3D71830%26oe%3D71839" TargetMode="External"/><Relationship Id="rId317" Type="http://schemas.openxmlformats.org/officeDocument/2006/relationships/hyperlink" Target="fdsup://factset/Doc%20Viewer%20Single?float_window=true&amp;positioning_strategy=center_on_screen&amp;_doc_docfn=U2FsdGVkX1/vqz1Oz60kdiRYm6UlVWp1WAYMVpHk70+h5b5Q3AdObrPHmg7wUJx6xMyxTQCKIxs73N9XKTm5w1QTeh4zWOeGBdxHzOJuLFM=&amp;_app_id=central_doc_viewer&amp;center_on_screen=true&amp;width=950&amp;height=800&amp;_dd2=%26f%3Dsld%26c%3Dtrue%26os%3D68051%26oe%3D68056" TargetMode="External"/><Relationship Id="rId338" Type="http://schemas.openxmlformats.org/officeDocument/2006/relationships/hyperlink" Target="fdsup://factset/Doc%20Viewer%20Single?float_window=true&amp;positioning_strategy=center_on_screen&amp;_doc_docfn=U2FsdGVkX1/UgTQgIBd7URNry12G41HTlTHLXh1WnOvOf+stlDZOM4CBx7l6C7MlCVIbVaGu70JV2sujEdo0Dc1XzRWaQeznf/WgTBXWq00=&amp;_app_id=central_doc_viewer&amp;center_on_screen=true&amp;width=950&amp;height=800&amp;_dd2=%26f%3Dsld%26c%3Dtrue%26os%3D60399%26oe%3D60406" TargetMode="External"/><Relationship Id="rId8" Type="http://schemas.openxmlformats.org/officeDocument/2006/relationships/hyperlink" Target="fdsup://factset/Doc%20Viewer%20Single?float_window=true&amp;positioning_strategy=center_on_screen&amp;_doc_docfn=U2FsdGVkX19OKK4Umzt/wPdApHFpH7ZmK8iKfGEsQgRzhJ4T7iJ/Ja5ROW4nG9NY9gpftFWWwRXD88PN2i99Oc0gCP+oN9sC7/RCKv0nTuQ=&amp;_app_id=central_doc_viewer&amp;center_on_screen=true&amp;width=950&amp;height=800&amp;_dd2=%26f%3Dsld%26c%3Dtrue%26os%3D122189%26oe%3D122196" TargetMode="External"/><Relationship Id="rId98" Type="http://schemas.openxmlformats.org/officeDocument/2006/relationships/hyperlink" Target="fdsup://factset/Doc%20Viewer%20Single?float_window=true&amp;positioning_strategy=center_on_screen&amp;_doc_docfn=U2FsdGVkX18ZDpFKaVD8p4r0jGFf+MxULHUhWhdBxFI/xhatTlOkDYDRQdhfTjKGli4HQw7RP1HWqZMCVyONib3Xztknw4EEwJKPp/V2FjI=&amp;_app_id=central_doc_viewer&amp;center_on_screen=true&amp;width=950&amp;height=800&amp;_dd2=%26f%3Dsld%26c%3Dtrue%26os%3D130956%26oe%3D130962" TargetMode="External"/><Relationship Id="rId121" Type="http://schemas.openxmlformats.org/officeDocument/2006/relationships/hyperlink" Target="fdsup://factset/Doc%20Viewer%20Single?float_window=true&amp;positioning_strategy=center_on_screen&amp;_doc_docfn=U2FsdGVkX18fKeVMkoOQutwwXqNMnCZE8GZuHkmCdmBp8JAR5Xi1gCkuTYxX5ls9mjWQeCDMq+cQZhfHczxRjQ42BR+g5LJ9IXYpAPaH/wY=&amp;_app_id=central_doc_viewer&amp;center_on_screen=true&amp;width=950&amp;height=800&amp;_dd2=%26f%3Dsld%26c%3Dtrue%26os%3D58928%26oe%3D58935" TargetMode="External"/><Relationship Id="rId142" Type="http://schemas.openxmlformats.org/officeDocument/2006/relationships/hyperlink" Target="fdsup://factset/Doc%20Viewer%20Single?float_window=true&amp;positioning_strategy=center_on_screen&amp;_doc_docfn=U2FsdGVkX1+/RIYK6mjpMuIf8JMg6axdOLa9L9hQVnWQlDr3i/E/bEggRRjmpKncnKwdpYxaTRdB+TMAtEjMzZjZwq9qMbwxo7mLKLJCBJg=&amp;_app_id=central_doc_viewer&amp;center_on_screen=true&amp;width=950&amp;height=800&amp;_dd2=%26f%3Dsld%26c%3Dtrue%26os%3D57520%26oe%3D57527" TargetMode="External"/><Relationship Id="rId163" Type="http://schemas.openxmlformats.org/officeDocument/2006/relationships/hyperlink" Target="fdsup://factset/Doc%20Viewer%20Single?float_window=true&amp;positioning_strategy=center_on_screen&amp;_doc_docfn=U2FsdGVkX1/TM0VQP4w9CVQSVsWhcVMGFKIMkn7Jqtu04kyOYKH3RlyMKV+rEXzgdLy0P9F51etxgCRvU5F0035nvT9n2563Xyd0QJ0lK50=&amp;_app_id=central_doc_viewer&amp;center_on_screen=true&amp;width=950&amp;height=800&amp;_dd2=%26f%3Dsld%26c%3Dtrue%26os%3D58239%26oe%3D58246" TargetMode="External"/><Relationship Id="rId184" Type="http://schemas.openxmlformats.org/officeDocument/2006/relationships/hyperlink" Target="fdsup://factset/Doc%20Viewer%20Single?float_window=true&amp;positioning_strategy=center_on_screen&amp;_doc_docfn=U2FsdGVkX196RO1ZzJLTb65DUgi8Y+hHjbG5FrqKt/36DsEv53644s495gMsdzHprVu8/6fYYqzg0RskBU7vG3oRObkKgclu+jrKoVJ/mgs=&amp;_app_id=central_doc_viewer&amp;center_on_screen=true&amp;width=950&amp;height=800&amp;_dd2=%26f%3Dsld%26c%3Dtrue%26os%3D59707%26oe%3D59713" TargetMode="External"/><Relationship Id="rId219" Type="http://schemas.openxmlformats.org/officeDocument/2006/relationships/hyperlink" Target="fdsup://factset/Doc%20Viewer%20Single?float_window=true&amp;positioning_strategy=center_on_screen&amp;_doc_docfn=U2FsdGVkX18v1u5fT80OyB/S6H6Dz/9joVxiFo9FwQqewcDxU2KZpslEmlgcEpCQq6Njj13pEC3TeIY5MpneVyvarHt9bNZpH28kaa1OY1A=&amp;_app_id=central_doc_viewer&amp;center_on_screen=true&amp;width=950&amp;height=800&amp;_dd2=%26f%3Dsld%26c%3Dtrue%26os%3D64868%26oe%3D64874" TargetMode="External"/><Relationship Id="rId230" Type="http://schemas.openxmlformats.org/officeDocument/2006/relationships/hyperlink" Target="fdsup://factset/Doc%20Viewer%20Single?float_window=true&amp;positioning_strategy=center_on_screen&amp;_doc_docfn=U2FsdGVkX1/Fb3kjVJN7KyGZo8/cwITiQNoOCN8m19L4TajaTtGy2PNWc6r/52LNdFcG/91xoyf4hz/LGaZUL6FbW9oAaBOE92/uOuByEfc=&amp;_app_id=central_doc_viewer&amp;center_on_screen=true&amp;width=950&amp;height=800&amp;_dd2=%26f%3Dsld%26c%3Dtrue%26os%3D65179%26oe%3D65184" TargetMode="External"/><Relationship Id="rId251" Type="http://schemas.openxmlformats.org/officeDocument/2006/relationships/hyperlink" Target="fdsup://factset/Doc%20Viewer%20Single?float_window=true&amp;positioning_strategy=center_on_screen&amp;_doc_docfn=U2FsdGVkX1+pAUiZh1IJolgPHJ5FMi1f+PH+u75mclSzFR9AKKs/cdCevFjmi3myfbmRVmM5WKDQC0mjoMOo97f3IYT2mviKj2W8fX4VH+M=&amp;_app_id=central_doc_viewer&amp;center_on_screen=true&amp;width=950&amp;height=800&amp;_dd2=%26f%3Dsld%26c%3Dtrue%26os%3D67347%26oe%3D67354" TargetMode="External"/><Relationship Id="rId25" Type="http://schemas.openxmlformats.org/officeDocument/2006/relationships/hyperlink" Target="fdsup://factset/Doc%20Viewer%20Single?float_window=true&amp;positioning_strategy=center_on_screen&amp;_doc_docfn=U2FsdGVkX1+iamGQ9U105a0ItTXKoG1gtD88/3/Bfz0qsKvuqrT196mjhwOOPk8kfUHAbR72tq7bDa2XZj+u73+QaWfMqqXiddbm9AkQ8QU=&amp;_app_id=central_doc_viewer&amp;center_on_screen=true&amp;width=950&amp;height=800&amp;_dd2=%26f%3Dsld%26c%3Dtrue%26os%3D123811%26oe%3D123818" TargetMode="External"/><Relationship Id="rId46" Type="http://schemas.openxmlformats.org/officeDocument/2006/relationships/hyperlink" Target="fdsup://factset/Doc%20Viewer%20Single?float_window=true&amp;positioning_strategy=center_on_screen&amp;_doc_docfn=U2FsdGVkX1+L/pbDT9QMdqr2JbfsGDBSsVl+qPvhCnrABmwlSzLmBHv+bq8mcBuHJQ40AFGl9N8lcjZVaMsQaz7Qr3NdBQYnlXhstCAmAkQ=&amp;_app_id=central_doc_viewer&amp;center_on_screen=true&amp;width=950&amp;height=800&amp;_dd2=%26f%3Dsld%26c%3Dtrue%26os%3D120315%26oe%3D120318" TargetMode="External"/><Relationship Id="rId67" Type="http://schemas.openxmlformats.org/officeDocument/2006/relationships/hyperlink" Target="fdsup://factset/Doc%20Viewer%20Single?float_window=true&amp;positioning_strategy=center_on_screen&amp;_doc_docfn=U2FsdGVkX1/0LEVEsUIpQZBKNa90FsJqLRGHLDIgPrZGPbcZ+/3HYR7eP5anUB4Blr8fpOiVe1QL8eP1g4porbZ7r2x3EArCqWMNoNkRH2o=&amp;_app_id=central_doc_viewer&amp;center_on_screen=true&amp;width=950&amp;height=800&amp;_dd2=%26f%3Dsld%26c%3Dtrue%26os%3D127023%26oe%3D127029" TargetMode="External"/><Relationship Id="rId272" Type="http://schemas.openxmlformats.org/officeDocument/2006/relationships/hyperlink" Target="fdsup://factset/Doc%20Viewer%20Single?float_window=true&amp;positioning_strategy=center_on_screen&amp;_doc_docfn=U2FsdGVkX19AwAgL9S04JLfs5XOglX2AFmSXAwTO3xd2T3ps4mvpzqs4uhVK9R8VYEikO0CuXjiyb+hA2G0OGhWSC0e/LcioCMrnhkPFbLM=&amp;_app_id=central_doc_viewer&amp;center_on_screen=true&amp;width=950&amp;height=800&amp;_dd2=%26f%3Dsld%26c%3Dtrue%26os%3D1389763%26oe%3D1389770" TargetMode="External"/><Relationship Id="rId293" Type="http://schemas.openxmlformats.org/officeDocument/2006/relationships/hyperlink" Target="fdsup://factset/Doc%20Viewer%20Single?float_window=true&amp;positioning_strategy=center_on_screen&amp;_doc_docfn=U2FsdGVkX1+jVc2oxEJMh6bXHrxqOll/rGq5u/ru0sma2+/v414e4AoecEQua6jQI/mpGo1ktk2W2VwSA4zkwP3btkj7xJOHyaLBOMXG/bk=&amp;_app_id=central_doc_viewer&amp;center_on_screen=true&amp;width=950&amp;height=800&amp;_dd2=%26f%3Dsld%26c%3Dtrue%26os%3D71093%26oe%3D71098" TargetMode="External"/><Relationship Id="rId307" Type="http://schemas.openxmlformats.org/officeDocument/2006/relationships/hyperlink" Target="fdsup://factset/Doc%20Viewer%20Single?float_window=true&amp;positioning_strategy=center_on_screen&amp;_doc_docfn=U2FsdGVkX19E/nCOcTyhiLDf1I4bX0MjrIg0I7h/U7DUNTkJtHB4oNf+oFnPoPAxl5kg3kMPluISFAbiUDr8aYq8MqTuppC4Xg29S0OXKzc=&amp;_app_id=central_doc_viewer&amp;center_on_screen=true&amp;width=950&amp;height=800&amp;_dd2=%26f%3Dsld%26c%3Dtrue%26os%3D74370%26oe%3D74373" TargetMode="External"/><Relationship Id="rId328" Type="http://schemas.openxmlformats.org/officeDocument/2006/relationships/hyperlink" Target="fdsup://factset/Doc%20Viewer%20Single?float_window=true&amp;positioning_strategy=center_on_screen&amp;_doc_docfn=U2FsdGVkX1/+MJ7UE/8fcz/TYdu9bdDLp4cX8VBsbfoHMoPH+MvYbfLEMuCKp77NGNKmveizHFplvLWiXcXnYju+2EnQwhyOCCm/uQfUXHM=&amp;_app_id=central_doc_viewer&amp;center_on_screen=true&amp;width=950&amp;height=800&amp;_dd2=%26f%3Dsld%26c%3Dtrue%26os%3D71753%26oe%3D71762" TargetMode="External"/><Relationship Id="rId88" Type="http://schemas.openxmlformats.org/officeDocument/2006/relationships/hyperlink" Target="fdsup://factset/Doc%20Viewer%20Single?float_window=true&amp;positioning_strategy=center_on_screen&amp;_doc_docfn=U2FsdGVkX19g130LPk/wYObh7VHUuKbsJkcA944GbjV5U0/SYZqtP2xKSkFBtxPU3BuV4+bLaFYa0TON5wb7Mbr+wRHpcoI8Geztjw40RSY=&amp;_app_id=central_doc_viewer&amp;center_on_screen=true&amp;width=950&amp;height=800&amp;_dd2=%26f%3Dsld%26c%3Dtrue%26os%3D129883%26oe%3D129889" TargetMode="External"/><Relationship Id="rId111" Type="http://schemas.openxmlformats.org/officeDocument/2006/relationships/hyperlink" Target="fdsup://factset/Doc%20Viewer%20Single?float_window=true&amp;positioning_strategy=center_on_screen&amp;_doc_docfn=U2FsdGVkX19ZWLnBufhmGp5cb/mv20DbSgb75x176CRKEIHlaJGttxxWsi5nHGdWugI1JsVX4Krk+dRRG6upc3N1MkSTcq3oZ4VOcmz6tRo=&amp;_app_id=central_doc_viewer&amp;center_on_screen=true&amp;width=950&amp;height=800&amp;_dd2=%26f%3Dsld%26c%3Dtrue%26os%3D133641%26oe%3D133652" TargetMode="External"/><Relationship Id="rId132" Type="http://schemas.openxmlformats.org/officeDocument/2006/relationships/hyperlink" Target="fdsup://factset/Doc%20Viewer%20Single?float_window=true&amp;positioning_strategy=center_on_screen&amp;_doc_docfn=U2FsdGVkX1+JcZm7/oGYOavVo9o+4ssRtlW77NCXQcAdCZdivFP+GaSglcBTVE/o0nic5aFuYwee/K65GNcAy4YS+3VnHTW7nVZtEYrsiDk=&amp;_app_id=central_doc_viewer&amp;center_on_screen=true&amp;width=950&amp;height=800&amp;_dd2=%26f%3Dsld%26c%3Dtrue%26os%3D1368380%26oe%3D1368387" TargetMode="External"/><Relationship Id="rId153" Type="http://schemas.openxmlformats.org/officeDocument/2006/relationships/hyperlink" Target="fdsup://factset/Doc%20Viewer%20Single?float_window=true&amp;positioning_strategy=center_on_screen&amp;_doc_docfn=U2FsdGVkX18i8mgckxK4Z2lw2R4IkhvvlXiGr4/SfUvHs+R2Tzcp9/3HTIU00ZE+evlzdkAGaMtsPez7DhjNWG3OKgt71uqfvKRnpq8lQ34=&amp;_app_id=central_doc_viewer&amp;center_on_screen=true&amp;width=950&amp;height=800&amp;_dd2=%26f%3Dsld%26c%3Dtrue%26os%3D1525748%26oe%3D1525753" TargetMode="External"/><Relationship Id="rId174" Type="http://schemas.openxmlformats.org/officeDocument/2006/relationships/hyperlink" Target="fdsup://factset/Doc%20Viewer%20Single?float_window=true&amp;positioning_strategy=center_on_screen&amp;_doc_docfn=U2FsdGVkX18dnomujP80htVo5uTX24K1fYnwOt9OytBRlXeCIAko5iGBEzjBUyQ4KzjDv+1+U53aNF2vq3QJSPBss4ct0aC1tjKvjY8OrFk=&amp;_app_id=central_doc_viewer&amp;center_on_screen=true&amp;width=950&amp;height=800&amp;_dd2=%26f%3Dsld%26c%3Dtrue%26os%3D62572%26oe%3D62579" TargetMode="External"/><Relationship Id="rId195" Type="http://schemas.openxmlformats.org/officeDocument/2006/relationships/hyperlink" Target="fdsup://factset/Doc%20Viewer%20Single?float_window=true&amp;positioning_strategy=center_on_screen&amp;_doc_docfn=U2FsdGVkX18mhHNtb6XlKayqJR32diSrwMCn1WtQc6im4WWnMpO0CSl5t0blWRGpXW59KhZ49gp4vCG9llxbtOSqtIeQ3y8CxN2n8nKMRXo=&amp;_app_id=central_doc_viewer&amp;center_on_screen=true&amp;width=950&amp;height=800&amp;_dd2=%26f%3Dsld%26c%3Dtrue%26os%3D1547249%26oe%3D1547258" TargetMode="External"/><Relationship Id="rId209" Type="http://schemas.openxmlformats.org/officeDocument/2006/relationships/hyperlink" Target="fdsup://factset/Doc%20Viewer%20Single?float_window=true&amp;positioning_strategy=center_on_screen&amp;_doc_docfn=U2FsdGVkX19ynvgJx6e6HuLC+MJJ020X1P5fsjrHNAlVkSuCgmx4HwKN95YtSh4G/LDh0RZJF/u3P14HmVUK7uUvGDPxDKe7dKvNX8zrRyM=&amp;_app_id=central_doc_viewer&amp;center_on_screen=true&amp;width=950&amp;height=800&amp;_dd2=%26f%3Dsld%26c%3Dtrue%26os%3D1537907%26oe%3D1537914" TargetMode="External"/><Relationship Id="rId220" Type="http://schemas.openxmlformats.org/officeDocument/2006/relationships/hyperlink" Target="fdsup://factset/Doc%20Viewer%20Single?float_window=true&amp;positioning_strategy=center_on_screen&amp;_doc_docfn=U2FsdGVkX1+2eLQMhqhMhaQj86dfWs+DwOu16TFyWaRybixxzYqYkTV0b+WOxyByBMxQm8kSkHj+8zWeutPc9FctaRKbqy/jLHDO4rReAdU=&amp;_app_id=central_doc_viewer&amp;center_on_screen=true&amp;width=950&amp;height=800&amp;_dd2=%26f%3Dsld%26c%3Dtrue%26os%3D62502%26oe%3D62508" TargetMode="External"/><Relationship Id="rId241" Type="http://schemas.openxmlformats.org/officeDocument/2006/relationships/hyperlink" Target="fdsup://factset/Doc%20Viewer%20Single?float_window=true&amp;positioning_strategy=center_on_screen&amp;_doc_docfn=U2FsdGVkX18MF29r3oobFCWLn6SNWnZXPBK4BtyAvZ2Yv6UFwSdQdQ7yBjZbsms0R98DIk+s6NfUCwW9n09ZXW2lwqAGZkEkUUsJs0Wg480=&amp;_app_id=central_doc_viewer&amp;center_on_screen=true&amp;width=950&amp;height=800&amp;_dd2=%26f%3Dsld%26c%3Dtrue%26os%3D1536658%26oe%3D1536664" TargetMode="External"/><Relationship Id="rId15" Type="http://schemas.openxmlformats.org/officeDocument/2006/relationships/hyperlink" Target="fdsup://factset/Doc%20Viewer%20Single?float_window=true&amp;positioning_strategy=center_on_screen&amp;_doc_docfn=U2FsdGVkX1/5fXBvUDIoJzIQpehKwt2fGjn/E0r4Io1sGP0fwSzU4DtUIHqphoRmOMhZ3jVpceAam8fZhjF/QxhI38qKBWKmqyFIxD1SxvU=&amp;_app_id=central_doc_viewer&amp;center_on_screen=true&amp;width=950&amp;height=800&amp;_dd2=%26f%3Dsld%26c%3Dtrue%26os%3D1395322%26oe%3D1395330" TargetMode="External"/><Relationship Id="rId36" Type="http://schemas.openxmlformats.org/officeDocument/2006/relationships/hyperlink" Target="fdsup://factset/Doc%20Viewer%20Single?float_window=true&amp;positioning_strategy=center_on_screen&amp;_doc_docfn=U2FsdGVkX1/DIAg7WhN7O8jWUnmgijCDXFfdu5jXUAZle7yaq3E00cR/38AWRPRPBKuPcjTFlHObBHPirK4Kp2G1f0AEKW2fI/Q9ukn15Rs=&amp;_app_id=central_doc_viewer&amp;center_on_screen=true&amp;width=950&amp;height=800&amp;_dd2=%26f%3Dsld%26c%3Dtrue%26os%3D124707%26oe%3D124708" TargetMode="External"/><Relationship Id="rId57" Type="http://schemas.openxmlformats.org/officeDocument/2006/relationships/hyperlink" Target="fdsup://factset/Doc%20Viewer%20Single?float_window=true&amp;positioning_strategy=center_on_screen&amp;_doc_docfn=U2FsdGVkX1+s7fN8Kuu3nMTZvsMocIGr1BkQ9sCUJ/GXUdGigXNUyhNaheLXiFH8Mm1GIxXH75haDCENFYy4e23IrcA20bj3AlsTRgx2olc=&amp;_app_id=central_doc_viewer&amp;center_on_screen=true&amp;width=950&amp;height=800&amp;_dd2=%26f%3Dsld%26c%3Dtrue%26os%3D1401068%26oe%3D1401075" TargetMode="External"/><Relationship Id="rId262" Type="http://schemas.openxmlformats.org/officeDocument/2006/relationships/hyperlink" Target="fdsup://factset/Doc%20Viewer%20Single?float_window=true&amp;positioning_strategy=center_on_screen&amp;_doc_docfn=U2FsdGVkX18aMpxw1ojAsmSeGL2OpaNZ5LomXF9wpH1QQM+qXhrzkhn7aHdL4OwanGTyNagbST11qeUJv6eg8oDYMv9XkoEpMR6iccsuzas=&amp;_app_id=central_doc_viewer&amp;center_on_screen=true&amp;width=950&amp;height=800&amp;_dd2=%26f%3Dsld%26c%3Dtrue%26os%3D1539143%26oe%3D1539148" TargetMode="External"/><Relationship Id="rId283" Type="http://schemas.openxmlformats.org/officeDocument/2006/relationships/hyperlink" Target="fdsup://factset/Doc%20Viewer%20Single?float_window=true&amp;positioning_strategy=center_on_screen&amp;_doc_docfn=U2FsdGVkX18T00CNP/Fnxk9IsWRnb7xRksT6iw7st1KVXr0FCZKAR01DclQTirtjR1STSchONeCkYliLLbOIFlbhGFo0Rb4n0BxmmBfV40k=&amp;_app_id=central_doc_viewer&amp;center_on_screen=true&amp;width=950&amp;height=800&amp;_dd2=%26f%3Dsld%26c%3Dtrue%26os%3D1544115%26oe%3D1544122" TargetMode="External"/><Relationship Id="rId318" Type="http://schemas.openxmlformats.org/officeDocument/2006/relationships/hyperlink" Target="fdsup://factset/Doc%20Viewer%20Single?float_window=true&amp;positioning_strategy=center_on_screen&amp;_doc_docfn=U2FsdGVkX1834LhXbaOTZpIGqOVs/K0KvuK+bUNcSiMrQ7d6sG28esEgaXLl3TCATlxRc1/bopCqBgYCTfAygt1xmn60iLlxMSxtweu2ZdM=&amp;_app_id=central_doc_viewer&amp;center_on_screen=true&amp;width=950&amp;height=800&amp;_dd2=%26f%3Dsld%26c%3Dtrue%26os%3D67043%26oe%3D67049" TargetMode="External"/><Relationship Id="rId339" Type="http://schemas.openxmlformats.org/officeDocument/2006/relationships/hyperlink" Target="fdsup://factset/Doc%20Viewer%20Single?float_window=true&amp;positioning_strategy=center_on_screen&amp;_doc_docfn=U2FsdGVkX1+U2/l+6rhCgPME8s3fkg9dPUwAAZ0LrVDcRJK5pm8fs2Dzzfxd+D0ZeUktQnZdyjDKkWFD1AcPpBNPh9+m0ksfxXnMh3LiMpI=&amp;_app_id=central_doc_viewer&amp;center_on_screen=true&amp;width=950&amp;height=800&amp;_dd2=%26f%3Dsld%26c%3Dtrue%26os%3D62807%26oe%3D62816" TargetMode="External"/><Relationship Id="rId78" Type="http://schemas.openxmlformats.org/officeDocument/2006/relationships/hyperlink" Target="fdsup://factset/Doc%20Viewer%20Single?float_window=true&amp;positioning_strategy=center_on_screen&amp;_doc_docfn=U2FsdGVkX19FZlNCVua3ALxBO9IyRcqVFH9lZwAzfr+3Bei1e/3wLDX9XEoG5E0SmM/5XD44QuhTcB2pjz35HB0yg3S6GM4RELvKXeSfYdU=&amp;_app_id=central_doc_viewer&amp;center_on_screen=true&amp;width=950&amp;height=800&amp;_dd2=%26f%3Dsld%26c%3Dtrue%26os%3D127745%26oe%3D127746" TargetMode="External"/><Relationship Id="rId99" Type="http://schemas.openxmlformats.org/officeDocument/2006/relationships/hyperlink" Target="fdsup://factset/Doc%20Viewer%20Single?float_window=true&amp;positioning_strategy=center_on_screen&amp;_doc_docfn=U2FsdGVkX1+/LIfms4uUIiLBhvBRYrQxTz7qEtnnb6sZgDLsQRTVg5S3Ym2qqnOyq6S8b0MMX8qNpXmiK3ebAB4J8PJfAfeDkJgIpfaHxb0=&amp;_app_id=central_doc_viewer&amp;center_on_screen=true&amp;width=950&amp;height=800&amp;_dd2=%26f%3Dsld%26c%3Dtrue%26os%3D127390%26oe%3D127396" TargetMode="External"/><Relationship Id="rId101" Type="http://schemas.openxmlformats.org/officeDocument/2006/relationships/hyperlink" Target="fdsup://factset/Doc%20Viewer%20Single?float_window=true&amp;positioning_strategy=center_on_screen&amp;_doc_docfn=U2FsdGVkX1/MhjDYdoeG3y5tDy8SdEmMsxmzM4YYESbXdTLisrmUIqxD4v8r5MdfIsh2Bx1Wuz1zLGgpM/NPAG65J6KwPnNYir2BImV5nU4=&amp;_app_id=central_doc_viewer&amp;center_on_screen=true&amp;width=950&amp;height=800&amp;_dd2=%26f%3Dsld%26c%3Dtrue%26os%3D166929%26oe%3D166939" TargetMode="External"/><Relationship Id="rId122" Type="http://schemas.openxmlformats.org/officeDocument/2006/relationships/hyperlink" Target="fdsup://factset/Doc%20Viewer%20Single?float_window=true&amp;positioning_strategy=center_on_screen&amp;_doc_docfn=U2FsdGVkX18kmzqI3SVHfNpBSXWAVOTxcIDOQcNd29zzc5Do8+BD5UeygTWGD2hTxwMeoUcmFC5dwN/iy1fJrFOUohq/W3OtS0u2HCiKKlM=&amp;_app_id=central_doc_viewer&amp;center_on_screen=true&amp;width=950&amp;height=800&amp;_dd2=%26f%3Dsld%26c%3Dtrue%26os%3D57716%26oe%3D57723" TargetMode="External"/><Relationship Id="rId143" Type="http://schemas.openxmlformats.org/officeDocument/2006/relationships/hyperlink" Target="fdsup://factset/Doc%20Viewer%20Single?float_window=true&amp;positioning_strategy=center_on_screen&amp;_doc_docfn=U2FsdGVkX1+2pPvlD2fIssH/BHBtpQS1eW/rfVcSyxyQvcPN3B77feJJ/XgcY4t6oLLqz9XbwL7x9P88RvaW7GfuXVxDRWSBpt4iaFq6lq8=&amp;_app_id=central_doc_viewer&amp;center_on_screen=true&amp;width=950&amp;height=800&amp;_dd2=%26f%3Dsld%26c%3Dtrue%26os%3D56268%26oe%3D56275" TargetMode="External"/><Relationship Id="rId164" Type="http://schemas.openxmlformats.org/officeDocument/2006/relationships/hyperlink" Target="fdsup://factset/Doc%20Viewer%20Single?float_window=true&amp;positioning_strategy=center_on_screen&amp;_doc_docfn=U2FsdGVkX1+AxuE692vIomTOefTmaDogpZtcyiYjp6tp2r3vq61wedlTobrBOiORimqDp3y4Yi80syuy8w8jKHo+a3sig0/P2egEyahQ3nw=&amp;_app_id=central_doc_viewer&amp;center_on_screen=true&amp;width=950&amp;height=800&amp;_dd2=%26f%3Dsld%26c%3Dtrue%26os%3D63498%26oe%3D63505" TargetMode="External"/><Relationship Id="rId185" Type="http://schemas.openxmlformats.org/officeDocument/2006/relationships/hyperlink" Target="fdsup://factset/Doc%20Viewer%20Single?float_window=true&amp;positioning_strategy=center_on_screen&amp;_doc_docfn=U2FsdGVkX1+vr/ohxZh7S/9v5ZJMYrG/xYBCLJthOYG49CL0U5iO6B46YH4lpCgXdtDFL0C7P96FKFceOS6St5tJIaXJ38f2L5TzOb2Y5EY=&amp;_app_id=central_doc_viewer&amp;center_on_screen=true&amp;width=950&amp;height=800&amp;_dd2=%26f%3Dsld%26c%3Dtrue%26os%3D64965%26oe%3D64970" TargetMode="External"/><Relationship Id="rId9" Type="http://schemas.openxmlformats.org/officeDocument/2006/relationships/hyperlink" Target="fdsup://factset/Doc%20Viewer%20Single?float_window=true&amp;positioning_strategy=center_on_screen&amp;_doc_docfn=U2FsdGVkX19trNoYQXZ8Tdomug2hne1/ak2mp5wYma2+Bf6n0D5YjoEKCzSBPQZWRaiYxwDN4T3K1Bjsi76uqO+dJCy5StDGv5d3d647GEU=&amp;_app_id=central_doc_viewer&amp;center_on_screen=true&amp;width=950&amp;height=800&amp;_dd2=%26f%3Dsld%26c%3Dtrue%26os%3D122382%26oe%3D122389" TargetMode="External"/><Relationship Id="rId210" Type="http://schemas.openxmlformats.org/officeDocument/2006/relationships/hyperlink" Target="fdsup://factset/Doc%20Viewer%20Single?float_window=true&amp;positioning_strategy=center_on_screen&amp;_doc_docfn=U2FsdGVkX19GmXRXv7axICnKwNr7U1K/FfjNhvDsGp2g0OqF/Qr8Aoxjyf65fR6s7hp3zxk87WNVmHiuhpnU9uDfio8F5oRgycWG5CbIWdQ=&amp;_app_id=central_doc_viewer&amp;center_on_screen=true&amp;width=950&amp;height=800&amp;_dd2=%26f%3Dsld%26c%3Dtrue%26os%3D1381711%26oe%3D1381718" TargetMode="External"/><Relationship Id="rId26" Type="http://schemas.openxmlformats.org/officeDocument/2006/relationships/hyperlink" Target="fdsup://factset/Doc%20Viewer%20Single?float_window=true&amp;positioning_strategy=center_on_screen&amp;_doc_docfn=U2FsdGVkX18b25AH1ycvDgwUIZXaML9TxpOYHcN7MNtkobeTPSieb+3zA2zbI/vneaxQkCKnclx+WdbyfwIsJO6+/IcK2ZQ3+6hM+j4lZ4s=&amp;_app_id=central_doc_viewer&amp;center_on_screen=true&amp;width=950&amp;height=800&amp;_dd2=%26f%3Dsld%26c%3Dtrue%26os%3D124029%26oe%3D124036" TargetMode="External"/><Relationship Id="rId231" Type="http://schemas.openxmlformats.org/officeDocument/2006/relationships/hyperlink" Target="fdsup://factset/Doc%20Viewer%20Single?float_window=true&amp;positioning_strategy=center_on_screen&amp;_doc_docfn=U2FsdGVkX1/MqhleHQvZ7fRvi9Mb0RyBtKIhhaZu0P01ePVJinCKz+SstU9CpkqrPMTedrf4LWZExjmAAEzbnWhtbaFBK3/EK67A3d0wkFw=&amp;_app_id=central_doc_viewer&amp;center_on_screen=true&amp;width=950&amp;height=800&amp;_dd2=%26f%3Dsld%26c%3Dtrue%26os%3D65359%26oe%3D65364" TargetMode="External"/><Relationship Id="rId252" Type="http://schemas.openxmlformats.org/officeDocument/2006/relationships/hyperlink" Target="fdsup://factset/Doc%20Viewer%20Single?float_window=true&amp;positioning_strategy=center_on_screen&amp;_doc_docfn=U2FsdGVkX18aX4nuErGtAzzg4NF+sNTJehMjQNcSwwmj3eyGZq7uIqMussnN4sTnvC5whTEuX9Yl3c7zSxMYFwL9jp5XpMne/tEVSmPV/Cg=&amp;_app_id=central_doc_viewer&amp;center_on_screen=true&amp;width=950&amp;height=800&amp;_dd2=%26f%3Dsld%26c%3Dtrue%26os%3D65469%26oe%3D65476" TargetMode="External"/><Relationship Id="rId273" Type="http://schemas.openxmlformats.org/officeDocument/2006/relationships/hyperlink" Target="fdsup://factset/Doc%20Viewer%20Single?float_window=true&amp;positioning_strategy=center_on_screen&amp;_doc_docfn=U2FsdGVkX19Yib5DvqVdRSzOVbAeUq9l165T9C34F9CyDYiLel9FirjVpDN03RXbSmVJ1oltuCjmnyPEgaU1Zdhq4Z139fUYYuwDU05I3Ig=&amp;_app_id=central_doc_viewer&amp;center_on_screen=true&amp;width=950&amp;height=800&amp;_dd2=%26f%3Dsld%26c%3Dtrue%26os%3D69366%26oe%3D69367" TargetMode="External"/><Relationship Id="rId294" Type="http://schemas.openxmlformats.org/officeDocument/2006/relationships/hyperlink" Target="fdsup://factset/Doc%20Viewer%20Single?float_window=true&amp;positioning_strategy=center_on_screen&amp;_doc_docfn=U2FsdGVkX19cBMpr0I7O1N6ReVJd1JED8HdpTANTluUYSr9KFcGsbUbTSOGpniKHEHX7pooqJTmZ8vqz7pOqFbiYbpUtu3ZkzV3O7zMz9O8=&amp;_app_id=central_doc_viewer&amp;center_on_screen=true&amp;width=950&amp;height=800&amp;_dd2=%26f%3Dsld%26c%3Dtrue%26os%3D69059%26oe%3D69060" TargetMode="External"/><Relationship Id="rId308" Type="http://schemas.openxmlformats.org/officeDocument/2006/relationships/hyperlink" Target="fdsup://factset/Doc%20Viewer%20Single?float_window=true&amp;positioning_strategy=center_on_screen&amp;_doc_docfn=U2FsdGVkX19TFC2+LIDuxzGNlVmuHTjlQrFEhtxoZ65qAXVMqyYC56y9Cu05N8jGvUj2WvhhMv/6beVtYfcTWj1DY/18CDmidgfe7euAZeU=&amp;_app_id=central_doc_viewer&amp;center_on_screen=true&amp;width=950&amp;height=800&amp;_dd2=%26f%3Dsld%26c%3Dtrue%26os%3D74348%26oe%3D74351" TargetMode="External"/><Relationship Id="rId329" Type="http://schemas.openxmlformats.org/officeDocument/2006/relationships/hyperlink" Target="fdsup://factset/Doc%20Viewer%20Single?float_window=true&amp;positioning_strategy=center_on_screen&amp;_doc_docfn=U2FsdGVkX1+MCPXrZ4JwOvhLh9KX8bUEIB0xdg51gCZYICvb9fzvbW6XgOZJgxpZfOHKNVmm9TZ3Ffngji+A1UKJ7wxsHeCyIjAbZN74wsA=&amp;_app_id=central_doc_viewer&amp;center_on_screen=true&amp;width=950&amp;height=800&amp;_dd2=%26f%3Dsld%26c%3Dtrue%26os%3D62355%26oe%3D62360" TargetMode="External"/><Relationship Id="rId47" Type="http://schemas.openxmlformats.org/officeDocument/2006/relationships/hyperlink" Target="fdsup://factset/Doc%20Viewer%20Single?float_window=true&amp;positioning_strategy=center_on_screen&amp;_doc_docfn=U2FsdGVkX1+maHB97svnMc0D3drxzC0xMFTFy46zTbhZNqGHRohbJtH5GbcggADUFzZiK2kFnnyKWwWrjnUqeLxrf07TpUVFBWkPFzl19zU=&amp;_app_id=central_doc_viewer&amp;center_on_screen=true&amp;width=950&amp;height=800&amp;_dd2=%26f%3Dsld%26c%3Dtrue%26os%3D161434%26oe%3D161439" TargetMode="External"/><Relationship Id="rId68" Type="http://schemas.openxmlformats.org/officeDocument/2006/relationships/hyperlink" Target="fdsup://factset/Doc%20Viewer%20Single?float_window=true&amp;positioning_strategy=center_on_screen&amp;_doc_docfn=U2FsdGVkX1//54xUQdrFYWZ+7ByFDkFmlGuwYB+oE+BcRHx28iymmwYU751EMTxJ54WJ/EaP7YoUUdRHLnnACLrTtoj0yENRpRVJpoDNYZI=&amp;_app_id=central_doc_viewer&amp;center_on_screen=true&amp;width=950&amp;height=800&amp;_dd2=%26f%3Dsld%26c%3Dtrue%26os%3D127237%26oe%3D127243" TargetMode="External"/><Relationship Id="rId89" Type="http://schemas.openxmlformats.org/officeDocument/2006/relationships/hyperlink" Target="fdsup://factset/Doc%20Viewer%20Single?float_window=true&amp;positioning_strategy=center_on_screen&amp;_doc_docfn=U2FsdGVkX1+eLGpdE6carKXngloK26qCiH8AegbCIRxqpXVj5wfDwGovjWvhNZxNx/Ab3m/OYzjhJDmiULMiX+VpG7vUupe3ro2llQw6krs=&amp;_app_id=central_doc_viewer&amp;center_on_screen=true&amp;width=950&amp;height=800&amp;_dd2=%26f%3Dsld%26c%3Dtrue%26os%3D130084%26oe%3D130090" TargetMode="External"/><Relationship Id="rId112" Type="http://schemas.openxmlformats.org/officeDocument/2006/relationships/hyperlink" Target="fdsup://factset/Doc%20Viewer%20Single?float_window=true&amp;positioning_strategy=center_on_screen&amp;_doc_docfn=U2FsdGVkX1/EVMFDGq57WBAn5eCAuIOgGQVYGz4wBfaY0ejooK/fwwutisIDxSKWWUaFs5Urg5qc0G3h7BQIK7ZMQOUEUkkElYSfWBfI9QY=&amp;_app_id=central_doc_viewer&amp;center_on_screen=true&amp;width=950&amp;height=800&amp;_dd2=%26f%3Dsld%26c%3Dtrue%26os%3D63510%26oe%3D63519" TargetMode="External"/><Relationship Id="rId133" Type="http://schemas.openxmlformats.org/officeDocument/2006/relationships/hyperlink" Target="fdsup://factset/Doc%20Viewer%20Single?float_window=true&amp;positioning_strategy=center_on_screen&amp;_doc_docfn=U2FsdGVkX18dOIeitkmLLlGzz186Ru/KO0Jp9ja7KNucUtBgDoqvHTafDX7hFXG7axkpK7RmdkYmC+Q7+4KoQv1w0WMUPJDiWDupy5L1ZS0=&amp;_app_id=central_doc_viewer&amp;center_on_screen=true&amp;width=950&amp;height=800&amp;_dd2=%26f%3Dsld%26c%3Dtrue%26os%3D59284%26oe%3D59290" TargetMode="External"/><Relationship Id="rId154" Type="http://schemas.openxmlformats.org/officeDocument/2006/relationships/hyperlink" Target="fdsup://factset/Doc%20Viewer%20Single?float_window=true&amp;positioning_strategy=center_on_screen&amp;_doc_docfn=U2FsdGVkX19xlFVjKASjnHNyiM8pMYRW+djr71iqDugppNyT2LUg/BOQ4LxIscsdzkMJ/AYxmwhIDOX2ipEifAmp/pQO6lQf+TPJxVMeDiY=&amp;_app_id=central_doc_viewer&amp;center_on_screen=true&amp;width=950&amp;height=800&amp;_dd2=%26f%3Dsld%26c%3Dtrue%26os%3D60678%26oe%3D60684" TargetMode="External"/><Relationship Id="rId175" Type="http://schemas.openxmlformats.org/officeDocument/2006/relationships/hyperlink" Target="fdsup://factset/Doc%20Viewer%20Single?float_window=true&amp;positioning_strategy=center_on_screen&amp;_doc_docfn=U2FsdGVkX196m+WyDLHGMwRBzQEHuJhU+3l4rFUKb3Tc1FmZQGNGxOXlLB/YZai1iHqBjK0OshIIO/4NVAJoMJnEG79QKSeB+2y4ZfU52cI=&amp;_app_id=central_doc_viewer&amp;center_on_screen=true&amp;width=950&amp;height=800&amp;_dd2=%26f%3Dsld%26c%3Dtrue%26os%3D62773%26oe%3D62780" TargetMode="External"/><Relationship Id="rId340" Type="http://schemas.openxmlformats.org/officeDocument/2006/relationships/drawing" Target="../drawings/drawing1.xml"/><Relationship Id="rId196" Type="http://schemas.openxmlformats.org/officeDocument/2006/relationships/hyperlink" Target="fdsup://factset/Doc%20Viewer%20Single?float_window=true&amp;positioning_strategy=center_on_screen&amp;_doc_docfn=U2FsdGVkX19644SeyM9irDcajqV+3RxECw4/z+IOVxFj9I3K3J6fjj/rcv8aM+JxJ6Dq3c5UqbViwAk+6JCT48DhvA6PTS70AsVXyTJBgJk=&amp;_app_id=central_doc_viewer&amp;center_on_screen=true&amp;width=950&amp;height=800&amp;_dd2=%26f%3Dsld%26c%3Dtrue%26os%3D1391040%26oe%3D1391049" TargetMode="External"/><Relationship Id="rId200" Type="http://schemas.openxmlformats.org/officeDocument/2006/relationships/hyperlink" Target="fdsup://factset/Doc%20Viewer%20Single?float_window=true&amp;positioning_strategy=center_on_screen&amp;_doc_docfn=U2FsdGVkX1/8FI6Gbs4JURe0eP6DHU+8wQMukKbLxalpR18j0uNN77ps0APyLO/P6uwyOvTgx9bd/Vaea1Z67pKjZb+aAOZJe6vJN4A0pAk=&amp;_app_id=central_doc_viewer&amp;center_on_screen=true&amp;width=950&amp;height=800&amp;_dd2=%26f%3Dsld%26c%3Dtrue%26os%3D65359%26oe%3D65366" TargetMode="External"/><Relationship Id="rId16" Type="http://schemas.openxmlformats.org/officeDocument/2006/relationships/hyperlink" Target="fdsup://factset/Doc%20Viewer%20Single?float_window=true&amp;positioning_strategy=center_on_screen&amp;_doc_docfn=U2FsdGVkX19JrF9Owff9Jw87OiMglU+znPlXu4zM62xOJXUovvvhefu1RUHz11fEReYtJZz/aT5vEj6TG/pzkDgZ8abx1ZdwyjD42vaxVNQ=&amp;_app_id=central_doc_viewer&amp;center_on_screen=true&amp;width=950&amp;height=800&amp;_dd2=%26f%3Dsld%26c%3Dtrue%26os%3D122864%26oe%3D122871" TargetMode="External"/><Relationship Id="rId221" Type="http://schemas.openxmlformats.org/officeDocument/2006/relationships/hyperlink" Target="fdsup://factset/Doc%20Viewer%20Single?float_window=true&amp;positioning_strategy=center_on_screen&amp;_doc_docfn=U2FsdGVkX18bpr0s9bjekTGAgCTTPPcmbeHxAQSy8PPGFv4dJwzdJ9mrGEfwpGDBoQm2+DkWrEW/tQzJ/DuGj9fD4x3pKGRataSnlFG6qSs=&amp;_app_id=central_doc_viewer&amp;center_on_screen=true&amp;width=950&amp;height=800&amp;_dd2=%26f%3Dsld%26c%3Dtrue%26os%3D61388%26oe%3D61394" TargetMode="External"/><Relationship Id="rId242" Type="http://schemas.openxmlformats.org/officeDocument/2006/relationships/hyperlink" Target="fdsup://factset/Doc%20Viewer%20Single?float_window=true&amp;positioning_strategy=center_on_screen&amp;_doc_docfn=U2FsdGVkX1/HggaSTuqc16UOQ0FG43q7pscLAe9mXDpQj8SIfov8AexT6sM4ubGrrgrN0zvnRDHdjpNmj5yGNIYC05PZJs0MYEohV0djTqg=&amp;_app_id=central_doc_viewer&amp;center_on_screen=true&amp;width=950&amp;height=800&amp;_dd2=%26f%3Dsld%26c%3Dtrue%26os%3D1380444%26oe%3D1380450" TargetMode="External"/><Relationship Id="rId263" Type="http://schemas.openxmlformats.org/officeDocument/2006/relationships/hyperlink" Target="fdsup://factset/Doc%20Viewer%20Single?float_window=true&amp;positioning_strategy=center_on_screen&amp;_doc_docfn=U2FsdGVkX1/jlDP1HQ583jm7oi+7W2rWEa86QorLIxhkUjhd4J+a9I421wP7MKJNIWHKswbPdpV78+wDd2CXp4zVu/CbkwHpkFbwBHwAdOQ=&amp;_app_id=central_doc_viewer&amp;center_on_screen=true&amp;width=950&amp;height=800&amp;_dd2=%26f%3Dsld%26c%3Dtrue%26os%3D1382951%26oe%3D1382956" TargetMode="External"/><Relationship Id="rId284" Type="http://schemas.openxmlformats.org/officeDocument/2006/relationships/hyperlink" Target="fdsup://factset/Doc%20Viewer%20Single?float_window=true&amp;positioning_strategy=center_on_screen&amp;_doc_docfn=U2FsdGVkX1/Q3QHbECfxCDR1ozDgKv/7ZlQNm17QnfRfnVAubl7Yu0RMHsFQiuwBWzxOZrCc4OSK/EfMwekwZtoMn5dZdkZnd2ZipaA/SgA=&amp;_app_id=central_doc_viewer&amp;center_on_screen=true&amp;width=950&amp;height=800&amp;_dd2=%26f%3Dsld%26c%3Dtrue%26os%3D1387896%26oe%3D1387903" TargetMode="External"/><Relationship Id="rId319" Type="http://schemas.openxmlformats.org/officeDocument/2006/relationships/hyperlink" Target="fdsup://factset/Doc%20Viewer%20Single?float_window=true&amp;positioning_strategy=center_on_screen&amp;_doc_docfn=U2FsdGVkX1+fimxn8e4n5kfSzMn/uAYm4G6gpQkD72iagAAq2x8pBED0VrJJ8JSXYPnPDyqTR/h0jMSkjMAvvXawYnkbuVATUVjkE09pmsM=&amp;_app_id=central_doc_viewer&amp;center_on_screen=true&amp;width=950&amp;height=800&amp;_dd2=%26f%3Dsld%26c%3Dtrue%26os%3D67549%26oe%3D67558" TargetMode="External"/><Relationship Id="rId37" Type="http://schemas.openxmlformats.org/officeDocument/2006/relationships/hyperlink" Target="fdsup://factset/Doc%20Viewer%20Single?float_window=true&amp;positioning_strategy=center_on_screen&amp;_doc_docfn=U2FsdGVkX18CTBEWdEXdMtSNhIrN4EAn7fnUALkq6JRQFsdRvWcd19sTmN6IQO03PZWXW09r0MKUWCmh4ubjVwQqEE3mPh30jJmI0eXFkZA=&amp;_app_id=central_doc_viewer&amp;center_on_screen=true&amp;width=950&amp;height=800&amp;_dd2=%26f%3Dsld%26c%3Dtrue%26os%3D121866%26oe%3D121871" TargetMode="External"/><Relationship Id="rId58" Type="http://schemas.openxmlformats.org/officeDocument/2006/relationships/hyperlink" Target="fdsup://factset/Doc%20Viewer%20Single?float_window=true&amp;positioning_strategy=center_on_screen&amp;_doc_docfn=U2FsdGVkX1+G1sdW8OhCDLwO3LFkB76RRS+o1VqKOL11hHY2Gv1DZSbAALQ4Xf1wydM/cq6j2/KEQT/WlleeDkLkFSHuAJQosOm307no1FY=&amp;_app_id=central_doc_viewer&amp;center_on_screen=true&amp;width=950&amp;height=800&amp;_dd2=%26f%3Dsld%26c%3Dtrue%26os%3D128243%26oe%3D128248" TargetMode="External"/><Relationship Id="rId79" Type="http://schemas.openxmlformats.org/officeDocument/2006/relationships/hyperlink" Target="fdsup://factset/Doc%20Viewer%20Single?float_window=true&amp;positioning_strategy=center_on_screen&amp;_doc_docfn=U2FsdGVkX1+IOynVZ0solLp435Ip80WCZZITYB9nbUrQegblkPS4xw66VFkiH0c1KpCg16rNi4SiyxOFOEQudyKoRNNmEiGBBESc8avoIjk=&amp;_app_id=central_doc_viewer&amp;center_on_screen=true&amp;width=950&amp;height=800&amp;_dd2=%26f%3Dsld%26c%3Dtrue%26os%3D127935%26oe%3D127936" TargetMode="External"/><Relationship Id="rId102" Type="http://schemas.openxmlformats.org/officeDocument/2006/relationships/hyperlink" Target="fdsup://factset/Doc%20Viewer%20Single?float_window=true&amp;positioning_strategy=center_on_screen&amp;_doc_docfn=U2FsdGVkX1/u5fF/rWvL9gIBuIknWu6UrgA2gw0wB3xgrkhaV2TD22YpPpNi+OH59/90JFhpNtZFDhYdbhFsKRdEWv05CWYHj0PrJJzk76I=&amp;_app_id=central_doc_viewer&amp;center_on_screen=true&amp;width=950&amp;height=800&amp;_dd2=%26f%3Dsld%26c%3Dtrue%26os%3D169933%26oe%3D169938" TargetMode="External"/><Relationship Id="rId123" Type="http://schemas.openxmlformats.org/officeDocument/2006/relationships/hyperlink" Target="fdsup://factset/Doc%20Viewer%20Single?float_window=true&amp;positioning_strategy=center_on_screen&amp;_doc_docfn=U2FsdGVkX1/Fgpz9uoBzIj65od50aUj6TD5LtDiRlG+TYLWw4LXf9sce20kncFe4fBmL/VET3SNy7kgkKY26qMMC6NlxXuwfEgrt1qWJPrg=&amp;_app_id=central_doc_viewer&amp;center_on_screen=true&amp;width=950&amp;height=800&amp;_dd2=%26f%3Dsld%26c%3Dtrue%26os%3D62975%26oe%3D62982" TargetMode="External"/><Relationship Id="rId144" Type="http://schemas.openxmlformats.org/officeDocument/2006/relationships/hyperlink" Target="fdsup://factset/Doc%20Viewer%20Single?float_window=true&amp;positioning_strategy=center_on_screen&amp;_doc_docfn=U2FsdGVkX18xGUaIBc2DA35cHwam8q5CbxhskmeCi3i7y7LhK1th/IlNlvYW054s2vFavT4tQMiaLjxXHzQDdGvkfVKzfovskshbPdx+3z8=&amp;_app_id=central_doc_viewer&amp;center_on_screen=true&amp;width=950&amp;height=800&amp;_dd2=%26f%3Dsld%26c%3Dtrue%26os%3D61532%26oe%3D61539" TargetMode="External"/><Relationship Id="rId330" Type="http://schemas.openxmlformats.org/officeDocument/2006/relationships/hyperlink" Target="fdsup://factset/Doc%20Viewer%20Single?float_window=true&amp;positioning_strategy=center_on_screen&amp;_doc_docfn=U2FsdGVkX1+zSS7snxYa+DpRMObo7/MMPsyCEAG0h+HTEHdtDz+YCor64VE7NxTJr69VBfXJCYQyAyxW4vpnSHZGCSVVuysqU+NbDwNko+Y=&amp;_app_id=central_doc_viewer&amp;center_on_screen=true&amp;width=950&amp;height=800&amp;_dd2=%26f%3Dsld%26c%3Dtrue%26os%3D61882%26oe%3D61889" TargetMode="External"/><Relationship Id="rId90" Type="http://schemas.openxmlformats.org/officeDocument/2006/relationships/hyperlink" Target="fdsup://factset/Doc%20Viewer%20Single?float_window=true&amp;positioning_strategy=center_on_screen&amp;_doc_docfn=U2FsdGVkX19N9XdcxV50xpOoN8ftIo8fIG7k+EMBMIwnAwLHFuZtwl4cK+Gp1yhCpzVXBS3vFRxXuTcceI7B1jVtLyzWOarr9PuXv53Bk80=&amp;_app_id=central_doc_viewer&amp;center_on_screen=true&amp;width=950&amp;height=800&amp;_dd2=%26f%3Dsld%26c%3Dtrue%26os%3D130285%26oe%3D130291" TargetMode="External"/><Relationship Id="rId165" Type="http://schemas.openxmlformats.org/officeDocument/2006/relationships/hyperlink" Target="fdsup://factset/Doc%20Viewer%20Single?float_window=true&amp;positioning_strategy=center_on_screen&amp;_doc_docfn=U2FsdGVkX18k2R0+8IxVj/LGAyDlyA2A2q3iQ6lds77U4AZKzQh3G4Iv96tV3mULc+1FvYWqPF2cm5/fAsy4L6frOHlkUmvnkwp8+y3Oezk=&amp;_app_id=central_doc_viewer&amp;center_on_screen=true&amp;width=950&amp;height=800&amp;_dd2=%26f%3Dsld%26c%3Dtrue%26os%3D1528228%26oe%3D1528235" TargetMode="External"/><Relationship Id="rId186" Type="http://schemas.openxmlformats.org/officeDocument/2006/relationships/hyperlink" Target="fdsup://factset/Doc%20Viewer%20Single?float_window=true&amp;positioning_strategy=center_on_screen&amp;_doc_docfn=U2FsdGVkX1+qKCZQzUMaT+bhOVY8VkU1aHQ1QMYuxKPHRuX4+Pm2t7zymZL27WsITzgRwd/f9AlxZLc2nqcXRX9aY5U7hHjuI/gNnPLoEAc=&amp;_app_id=central_doc_viewer&amp;center_on_screen=true&amp;width=950&amp;height=800&amp;_dd2=%26f%3Dsld%26c%3Dtrue%26os%3D1530026%26oe%3D1530031" TargetMode="External"/><Relationship Id="rId211" Type="http://schemas.openxmlformats.org/officeDocument/2006/relationships/hyperlink" Target="fdsup://factset/Doc%20Viewer%20Single?float_window=true&amp;positioning_strategy=center_on_screen&amp;_doc_docfn=U2FsdGVkX1+6/Yy+co7kV2zF9umkiWv8aYIK5c4V+Eo2YZ7K7a4nyzi+MKk17F/N+NPTwqmJafzW9M+WeFrnEiARpZ3Zs3N9WCPZNYANdtI=&amp;_app_id=central_doc_viewer&amp;center_on_screen=true&amp;width=950&amp;height=800&amp;_dd2=%26f%3Dsld%26c%3Dtrue%26os%3D64229%26oe%3D64235" TargetMode="External"/><Relationship Id="rId232" Type="http://schemas.openxmlformats.org/officeDocument/2006/relationships/hyperlink" Target="fdsup://factset/Doc%20Viewer%20Single?float_window=true&amp;positioning_strategy=center_on_screen&amp;_doc_docfn=U2FsdGVkX19Jtm84h1wEkf73/nA+g+wy4uhgxcOU8wlsHGQNRONJNF18ru5m10zWI+4C7ibBgECJxWs/GUi2RjvHqe/mgu77hUVxsIOCKJI=&amp;_app_id=central_doc_viewer&amp;center_on_screen=true&amp;width=950&amp;height=800&amp;_dd2=%26f%3Dsld%26c%3Dtrue%26os%3D63465%26oe%3D63470" TargetMode="External"/><Relationship Id="rId253" Type="http://schemas.openxmlformats.org/officeDocument/2006/relationships/hyperlink" Target="fdsup://factset/Doc%20Viewer%20Single?float_window=true&amp;positioning_strategy=center_on_screen&amp;_doc_docfn=U2FsdGVkX198xaKN3QG9jqZlzICfL84Bod7GjQsvb8OQbT4JXvK+0C4D1TabPAcjr3j9p8Jdf+sQS0b0o/rznMJy6jbGWtCBB++6sE7WCxk=&amp;_app_id=central_doc_viewer&amp;center_on_screen=true&amp;width=950&amp;height=800&amp;_dd2=%26f%3Dsld%26c%3Dtrue%26os%3D64374%26oe%3D64381" TargetMode="External"/><Relationship Id="rId274" Type="http://schemas.openxmlformats.org/officeDocument/2006/relationships/hyperlink" Target="fdsup://factset/Doc%20Viewer%20Single?float_window=true&amp;positioning_strategy=center_on_screen&amp;_doc_docfn=U2FsdGVkX18YgRzwZHfTSC/cYN6byv0HuGxr+BjUFuyOs5B8Ms2dqLk9RQsMCuUongoxaOc/Yf7WQugOsXUsUPFfDIxBFa9wV3zVHCMWYLE=&amp;_app_id=central_doc_viewer&amp;center_on_screen=true&amp;width=950&amp;height=800&amp;_dd2=%26f%3Dsld%26c%3Dtrue%26os%3D69536%26oe%3D69537" TargetMode="External"/><Relationship Id="rId295" Type="http://schemas.openxmlformats.org/officeDocument/2006/relationships/hyperlink" Target="fdsup://factset/Doc%20Viewer%20Single?float_window=true&amp;positioning_strategy=center_on_screen&amp;_doc_docfn=U2FsdGVkX1/1j5XxmqJE2JDAem4spcbtKe56d5TQt2XQ3kmY4LNLfwJsVAgAD6FMmclTjRNhJnQAW7UFZKHhkkB5R9IPZUQhrvm7J6PYd5Q=&amp;_app_id=central_doc_viewer&amp;center_on_screen=true&amp;width=950&amp;height=800&amp;_dd2=%26f%3Dsld%26c%3Dtrue%26os%3D71466%26oe%3D71475" TargetMode="External"/><Relationship Id="rId309" Type="http://schemas.openxmlformats.org/officeDocument/2006/relationships/hyperlink" Target="fdsup://factset/Doc%20Viewer%20Single?float_window=true&amp;positioning_strategy=center_on_screen&amp;_doc_docfn=U2FsdGVkX19Nw/tbmW7fwXbK+9RXZt8QMMPNe7Bj5+TUeQ5hsTSyeIs2SOX0mGA/Krr63BlyGuSyAotExZ/7jpUboNBc/x0OOebV56HvKJI=&amp;_app_id=central_doc_viewer&amp;center_on_screen=true&amp;width=950&amp;height=800&amp;_dd2=%26f%3Dsld%26c%3Dtrue%26os%3D74517%26oe%3D74520" TargetMode="External"/><Relationship Id="rId27" Type="http://schemas.openxmlformats.org/officeDocument/2006/relationships/hyperlink" Target="fdsup://factset/Doc%20Viewer%20Single?float_window=true&amp;positioning_strategy=center_on_screen&amp;_doc_docfn=U2FsdGVkX18xZBtsa+FZ5TqdP4NXThKxMdD+qu1UBr1BcRjg358AtIlpdsVhHFdoesqbNwTWZYxR4zqbwG2vwN91HXcTd4Gtg99kfuVO3No=&amp;_app_id=central_doc_viewer&amp;center_on_screen=true&amp;width=950&amp;height=800&amp;_dd2=%26f%3Dsld%26c%3Dtrue%26os%3D121237%26oe%3D121244" TargetMode="External"/><Relationship Id="rId48" Type="http://schemas.openxmlformats.org/officeDocument/2006/relationships/hyperlink" Target="fdsup://factset/Doc%20Viewer%20Single?float_window=true&amp;positioning_strategy=center_on_screen&amp;_doc_docfn=U2FsdGVkX18nfJAWGJ+02LE+H7BOThzAPxsU9wQhy7Yxs3O+Ziir/92H32DpBC8qF26gztzPdV/Vk+v2zqciL1B0P1SmG9/jvXi4qbsS9dw=&amp;_app_id=central_doc_viewer&amp;center_on_screen=true&amp;width=950&amp;height=800&amp;_dd2=%26f%3Dsld%26c%3Dtrue%26os%3D164515%26oe%3D164518" TargetMode="External"/><Relationship Id="rId69" Type="http://schemas.openxmlformats.org/officeDocument/2006/relationships/hyperlink" Target="fdsup://factset/Doc%20Viewer%20Single?float_window=true&amp;positioning_strategy=center_on_screen&amp;_doc_docfn=U2FsdGVkX1/Uecvzhn1/5iHwEPeUtVuQv6jWCfofyew8irwUU8s2y0IHMdQRBaOM+nqRAQeeXrbPB1jziXHLyCEt3crIouW9vhK18aPxL2g=&amp;_app_id=central_doc_viewer&amp;center_on_screen=true&amp;width=950&amp;height=800&amp;_dd2=%26f%3Dsld%26c%3Dtrue%26os%3D124382%26oe%3D124388" TargetMode="External"/><Relationship Id="rId113" Type="http://schemas.openxmlformats.org/officeDocument/2006/relationships/hyperlink" Target="fdsup://factset/Doc%20Viewer%20Single?float_window=true&amp;positioning_strategy=center_on_screen&amp;_doc_docfn=U2FsdGVkX18qjDSGGRYCbPg184EIzwGsNcashL50ognccq7EnO2b2Z8QMt+LOq33fCjsUS+gugBVRUjBnFIzMpKbghmpav8mC5Kw5qdjWL8=&amp;_app_id=central_doc_viewer&amp;center_on_screen=true&amp;width=950&amp;height=800&amp;_dd2=%26f%3Dsld%26c%3Dtrue%26os%3D63684%26oe%3D63693" TargetMode="External"/><Relationship Id="rId134" Type="http://schemas.openxmlformats.org/officeDocument/2006/relationships/hyperlink" Target="fdsup://factset/Doc%20Viewer%20Single?float_window=true&amp;positioning_strategy=center_on_screen&amp;_doc_docfn=U2FsdGVkX19DvNja1aDSSUaBoqwtzYQjdH1p/9S74Grko8Ml4CQvOZVLvDnWtAHT1dkTVqNsXi6XbBuGfHXyU5UlNH+Nq+67g+H5hbHgSCg=&amp;_app_id=central_doc_viewer&amp;center_on_screen=true&amp;width=950&amp;height=800&amp;_dd2=%26f%3Dsld%26c%3Dtrue%26os%3D59475%26oe%3D59481" TargetMode="External"/><Relationship Id="rId320" Type="http://schemas.openxmlformats.org/officeDocument/2006/relationships/hyperlink" Target="fdsup://factset/Doc%20Viewer%20Single?float_window=true&amp;positioning_strategy=center_on_screen&amp;_doc_docfn=U2FsdGVkX19G2bYglEwGkrUfZ9z/gw+0vUTaKhk91+hEdUsC+GM0cVxSmUdjjJxradxm/3ZB1qSoRvLJ9JN/4nFdVhavq8WTEeEltPZp9oE=&amp;_app_id=central_doc_viewer&amp;center_on_screen=true&amp;width=950&amp;height=800&amp;_dd2=%26f%3Dsld%26c%3Dtrue%26os%3D66512%26oe%3D66518" TargetMode="External"/><Relationship Id="rId80" Type="http://schemas.openxmlformats.org/officeDocument/2006/relationships/hyperlink" Target="fdsup://factset/Doc%20Viewer%20Single?float_window=true&amp;positioning_strategy=center_on_screen&amp;_doc_docfn=U2FsdGVkX18YeZJ+uaM3QNEHMGBQl49tE4lEJzD9EwhxRziwXBdv7ceLIc3KvbdkyGIT3usfYeuFD/e2cUp8DbtGQpx22dZhgDRgLxS+cP0=&amp;_app_id=central_doc_viewer&amp;center_on_screen=true&amp;width=950&amp;height=800&amp;_dd2=%26f%3Dsld%26c%3Dtrue%26os%3D129040%26oe%3D129047" TargetMode="External"/><Relationship Id="rId155" Type="http://schemas.openxmlformats.org/officeDocument/2006/relationships/hyperlink" Target="fdsup://factset/Doc%20Viewer%20Single?float_window=true&amp;positioning_strategy=center_on_screen&amp;_doc_docfn=U2FsdGVkX1/0tap/wdR0nUvJi0XkljVRFNPG3DJHHJyacdCHCRqMFSUUf5x0IeSskx++wMoMA5qrdqbZTixxYnmXw387pNQJPtxkQ7D+OAU=&amp;_app_id=central_doc_viewer&amp;center_on_screen=true&amp;width=950&amp;height=800&amp;_dd2=%26f%3Dsld%26c%3Dtrue%26os%3D60859%26oe%3D60865" TargetMode="External"/><Relationship Id="rId176" Type="http://schemas.openxmlformats.org/officeDocument/2006/relationships/hyperlink" Target="fdsup://factset/Doc%20Viewer%20Single?float_window=true&amp;positioning_strategy=center_on_screen&amp;_doc_docfn=U2FsdGVkX19GX1u2l2WB/IjBXYyl8eOjT4eSPqexR4BeF4qHQ+emi8HlvWfMdrB4xHKpO8WVzDki92VGKj0rg4t1Y9MfjD/oTJ2StuHTXDM=&amp;_app_id=central_doc_viewer&amp;center_on_screen=true&amp;width=950&amp;height=800&amp;_dd2=%26f%3Dsld%26c%3Dtrue%26os%3D60393%26oe%3D60400" TargetMode="External"/><Relationship Id="rId197" Type="http://schemas.openxmlformats.org/officeDocument/2006/relationships/hyperlink" Target="fdsup://factset/Doc%20Viewer%20Single?float_window=true&amp;positioning_strategy=center_on_screen&amp;_doc_docfn=U2FsdGVkX19sAhmM7kp8V72i8tuZy6o5T1sBqsrptATgs1Wi6AY4yS7wd//O7EJkAbLDY4NETS/XMvIxVfdfS0YSYJqFDi5T2WV35JNtqPI=&amp;_app_id=central_doc_viewer&amp;center_on_screen=true&amp;width=950&amp;height=800&amp;_dd2=%26f%3Dsld%26c%3Dtrue%26os%3D68122%26oe%3D68129" TargetMode="External"/><Relationship Id="rId201" Type="http://schemas.openxmlformats.org/officeDocument/2006/relationships/hyperlink" Target="fdsup://factset/Doc%20Viewer%20Single?float_window=true&amp;positioning_strategy=center_on_screen&amp;_doc_docfn=U2FsdGVkX1+N55qBHGAPdZU3r8zPDd6f6BixjbD3twRwsvDPh6gwwA2OEournBCNdyhUiNXHVQpy0RTcd0xcMv/sCQWrjmAh8r2dn64M41w=&amp;_app_id=central_doc_viewer&amp;center_on_screen=true&amp;width=950&amp;height=800&amp;_dd2=%26f%3Dsld%26c%3Dtrue%26os%3D70177%26oe%3D70184" TargetMode="External"/><Relationship Id="rId222" Type="http://schemas.openxmlformats.org/officeDocument/2006/relationships/hyperlink" Target="fdsup://factset/Doc%20Viewer%20Single?float_window=true&amp;positioning_strategy=center_on_screen&amp;_doc_docfn=U2FsdGVkX1/fXiPAH6n88JA5kdhAEs3L3IfwlBEdH+aOzM54RfRqJwoXAZrHhhevZSp+mPNLlYZkYD0kH+U3ZrhY5tGVLdQ1HYrOHVF86sk=&amp;_app_id=central_doc_viewer&amp;center_on_screen=true&amp;width=950&amp;height=800&amp;_dd2=%26f%3Dsld%26c%3Dtrue%26os%3D66645%26oe%3D66651" TargetMode="External"/><Relationship Id="rId243" Type="http://schemas.openxmlformats.org/officeDocument/2006/relationships/hyperlink" Target="fdsup://factset/Doc%20Viewer%20Single?float_window=true&amp;positioning_strategy=center_on_screen&amp;_doc_docfn=U2FsdGVkX1/Lgo/pAr9yfuwkKp0ZdP18D7u4vPsOsrOJWx+SbAZpJmGfAbATowLLrkd6bymqh9lYM3+tMyO9ZAcZK1I9F7/hHkS/wOi0VL8=&amp;_app_id=central_doc_viewer&amp;center_on_screen=true&amp;width=950&amp;height=800&amp;_dd2=%26f%3Dsld%26c%3Dtrue%26os%3D66658%26oe%3D66664" TargetMode="External"/><Relationship Id="rId264" Type="http://schemas.openxmlformats.org/officeDocument/2006/relationships/hyperlink" Target="fdsup://factset/Doc%20Viewer%20Single?float_window=true&amp;positioning_strategy=center_on_screen&amp;_doc_docfn=U2FsdGVkX1/x32xRd14CgBi7i8DLFB1N4QwMboiaGkIRO0hoBcrwvpK+8+2KGarPlagKdmdpsjRQC5lH++gP8ryfobAhqEQe/cCqNuiUjSU=&amp;_app_id=central_doc_viewer&amp;center_on_screen=true&amp;width=950&amp;height=800&amp;_dd2=%26f%3Dsld%26c%3Dtrue%26os%3D1540420%26oe%3D1540425" TargetMode="External"/><Relationship Id="rId285" Type="http://schemas.openxmlformats.org/officeDocument/2006/relationships/hyperlink" Target="fdsup://factset/Doc%20Viewer%20Single?float_window=true&amp;positioning_strategy=center_on_screen&amp;_doc_docfn=U2FsdGVkX18xZDlC/JfjTYKsHdcFWvnHAlyaLkcPX0xtdDG40PbVmUlkPFsf8z4wDo8cmJ/BKmm8U7ChpFz83TNSJkyElILa6Md4NbmBCdM=&amp;_app_id=central_doc_viewer&amp;center_on_screen=true&amp;width=950&amp;height=800&amp;_dd2=%26f%3Dsld%26c%3Dtrue%26os%3D70345%26oe%3D70351" TargetMode="External"/><Relationship Id="rId17" Type="http://schemas.openxmlformats.org/officeDocument/2006/relationships/hyperlink" Target="fdsup://factset/Doc%20Viewer%20Single?float_window=true&amp;positioning_strategy=center_on_screen&amp;_doc_docfn=U2FsdGVkX19QpmS5SdYrNjmE/9L0AzoIZXwLiK7qtxaHeirs1vKNbfJX6P8/YeJsQGePoUSBGFvk15e0z40xaEehMVoaOAolEzoa51LqF9o=&amp;_app_id=central_doc_viewer&amp;center_on_screen=true&amp;width=950&amp;height=800&amp;_dd2=%26f%3Dsld%26c%3Dtrue%26os%3D123055%26oe%3D123062" TargetMode="External"/><Relationship Id="rId38" Type="http://schemas.openxmlformats.org/officeDocument/2006/relationships/hyperlink" Target="fdsup://factset/Doc%20Viewer%20Single?float_window=true&amp;positioning_strategy=center_on_screen&amp;_doc_docfn=U2FsdGVkX1/JbUMr7HDurP+aT52chGTtKFc0RBOYUueHmObRbYDZUM1Da79MXYWZrYW1chg5NVwEE+FSXP2gax0fH7Jhi5ndN/x17+LY2cI=&amp;_app_id=central_doc_viewer&amp;center_on_screen=true&amp;width=950&amp;height=800&amp;_dd2=%26f%3Dsld%26c%3Dtrue%26os%3D119516%26oe%3D119521" TargetMode="External"/><Relationship Id="rId59" Type="http://schemas.openxmlformats.org/officeDocument/2006/relationships/hyperlink" Target="fdsup://factset/Doc%20Viewer%20Single?float_window=true&amp;positioning_strategy=center_on_screen&amp;_doc_docfn=U2FsdGVkX1/A3IOpRbIS5Zh8RMEEbE6euSrXgWBdXsHAf4w1Cn4o1Do4EePVD3Vw1BKjcur41/dvd/yxWXY5LVAJFTIZshE13e6qEb2z40g=&amp;_app_id=central_doc_viewer&amp;center_on_screen=true&amp;width=950&amp;height=800&amp;_dd2=%26f%3Dsld%26c%3Dtrue%26os%3D128450%26oe%3D128456" TargetMode="External"/><Relationship Id="rId103" Type="http://schemas.openxmlformats.org/officeDocument/2006/relationships/hyperlink" Target="fdsup://factset/Doc%20Viewer%20Single?float_window=true&amp;positioning_strategy=center_on_screen&amp;_doc_docfn=U2FsdGVkX1+qUV7LCsa/AZp2fqyXuafWE7n12XgfHFIsqYTb9NJRD2UlBmtpaavok1G7+a/QinH0bL3PAHMliCqzbbtjJfY2Ze295skt758=&amp;_app_id=central_doc_viewer&amp;center_on_screen=true&amp;width=950&amp;height=800&amp;_dd2=%26f%3Dsld%26c%3Dtrue%26os%3D1407256%26oe%3D1407263" TargetMode="External"/><Relationship Id="rId124" Type="http://schemas.openxmlformats.org/officeDocument/2006/relationships/hyperlink" Target="fdsup://factset/Doc%20Viewer%20Single?float_window=true&amp;positioning_strategy=center_on_screen&amp;_doc_docfn=U2FsdGVkX19sxOPcsoFhIJriKmFf59rWWeV/h3zFhUIiCydzrq98qfAdYTIukaC4hvttM+/T8PwdLujeCFnF6HGtUawF631KZ8uyuzckawE=&amp;_app_id=central_doc_viewer&amp;center_on_screen=true&amp;width=950&amp;height=800&amp;_dd2=%26f%3Dsld%26c%3Dtrue%26os%3D1527601%26oe%3D1527608" TargetMode="External"/><Relationship Id="rId310" Type="http://schemas.openxmlformats.org/officeDocument/2006/relationships/hyperlink" Target="fdsup://factset/Doc%20Viewer%20Single?float_window=true&amp;positioning_strategy=center_on_screen&amp;_doc_docfn=U2FsdGVkX18Da44STsTKFoZMXNk3Ap1LZCY6/AkJtXxo1mx/SXTYWCGHQe9QpFDUjifdst2jNRsAL86MN5IIQzjYbvD6322covAhvw8sE4Q=&amp;_app_id=central_doc_viewer&amp;center_on_screen=true&amp;width=950&amp;height=800&amp;_dd2=%26f%3Dsld%26c%3Dtrue%26os%3D2122694%26oe%3D2122701" TargetMode="External"/><Relationship Id="rId70" Type="http://schemas.openxmlformats.org/officeDocument/2006/relationships/hyperlink" Target="fdsup://factset/Doc%20Viewer%20Single?float_window=true&amp;positioning_strategy=center_on_screen&amp;_doc_docfn=U2FsdGVkX19skdWADGVnO0Pub4bhY/IZhl5UTzbh0Q3j1PaRthIkIyarS2SmQdI2Y53g+IDUGO5MCemAgvp9L2i1FTHLvQKjEfeIOfjz8E4=&amp;_app_id=central_doc_viewer&amp;center_on_screen=true&amp;width=950&amp;height=800&amp;_dd2=%26f%3Dsld%26c%3Dtrue%26os%3D122070%26oe%3D122076" TargetMode="External"/><Relationship Id="rId91" Type="http://schemas.openxmlformats.org/officeDocument/2006/relationships/hyperlink" Target="fdsup://factset/Doc%20Viewer%20Single?float_window=true&amp;positioning_strategy=center_on_screen&amp;_doc_docfn=U2FsdGVkX1+iMgDsouO3hLOjVQ5uT6FK/cDketptqPckrbDX2MywxL7HDUOI8sW6DJhfYtVvxL7P1GBmS7lwMjmZBLINlLwTUUXhqFOair0=&amp;_app_id=central_doc_viewer&amp;center_on_screen=true&amp;width=950&amp;height=800&amp;_dd2=%26f%3Dsld%26c%3Dtrue%26os%3D126715%26oe%3D126721" TargetMode="External"/><Relationship Id="rId145" Type="http://schemas.openxmlformats.org/officeDocument/2006/relationships/hyperlink" Target="fdsup://factset/Doc%20Viewer%20Single?float_window=true&amp;positioning_strategy=center_on_screen&amp;_doc_docfn=U2FsdGVkX18qu+xIj+Tl0lPHKEEMF4swZoqWPbWzcVdDH+PluIABXUxPYHwk3XIatwvUO4HpA7wFdOMQm0Hr/FWxmV3kJRajZZHZNxWTrwg=&amp;_app_id=central_doc_viewer&amp;center_on_screen=true&amp;width=950&amp;height=800&amp;_dd2=%26f%3Dsld%26c%3Dtrue%26os%3D1525159%26oe%3D1525166" TargetMode="External"/><Relationship Id="rId166" Type="http://schemas.openxmlformats.org/officeDocument/2006/relationships/hyperlink" Target="fdsup://factset/Doc%20Viewer%20Single?float_window=true&amp;positioning_strategy=center_on_screen&amp;_doc_docfn=U2FsdGVkX19NPvAqkykrhYiaoluTIdn4ND5nhoT49t9wO5IZ9f5sQXsf/gD1t/p78e8qt1cFR+p6WapTIhyLpNxQ4vdLZtsylqnrTn0aB5Q=&amp;_app_id=central_doc_viewer&amp;center_on_screen=true&amp;width=950&amp;height=800&amp;_dd2=%26f%3Dsld%26c%3Dtrue%26os%3D1372077%26oe%3D1372084" TargetMode="External"/><Relationship Id="rId187" Type="http://schemas.openxmlformats.org/officeDocument/2006/relationships/hyperlink" Target="fdsup://factset/Doc%20Viewer%20Single?float_window=true&amp;positioning_strategy=center_on_screen&amp;_doc_docfn=U2FsdGVkX18PMr/fyg7rUDj4x4wdubwQQu9iZAxMPjYw0Qd9r1jo2b92AZyEbAKqNAOYkFBAmJrPCePgnI0mF/94tx9slgRgZPQLAF+ano8=&amp;_app_id=central_doc_viewer&amp;center_on_screen=true&amp;width=950&amp;height=800&amp;_dd2=%26f%3Dsld%26c%3Dtrue%26os%3D1373895%26oe%3D1373900" TargetMode="External"/><Relationship Id="rId331" Type="http://schemas.openxmlformats.org/officeDocument/2006/relationships/hyperlink" Target="fdsup://factset/Doc%20Viewer%20Single?float_window=true&amp;positioning_strategy=center_on_screen&amp;_doc_docfn=U2FsdGVkX18MkRAOo8foX5ClkDwLkWg37p2+T0InajdL/B86aIZUSwiF9xNNBhxZvDH98bJ5GMGxG2DSXyxqdnL/Evl7Nigtgxkx8yVX3VA=&amp;_app_id=central_doc_viewer&amp;center_on_screen=true&amp;width=950&amp;height=800&amp;_dd2=%26f%3Dsld%26c%3Dtrue%26os%3D61363%26oe%3D61370" TargetMode="External"/><Relationship Id="rId1" Type="http://schemas.openxmlformats.org/officeDocument/2006/relationships/hyperlink" Target="fdsup://factset/Doc%20Viewer%20Single?float_window=true&amp;positioning_strategy=center_on_screen&amp;_doc_docfn=U2FsdGVkX1+xio2prG3pfc+u2eNuow0WGDL8GIwKJgTHYXcchSOsKbKsjNomODu7ZUmDV19EELpaD/C9oyUe7jhisVFwSKLPUsN3ava5syE=&amp;_app_id=central_doc_viewer&amp;center_on_screen=true&amp;width=950&amp;height=800&amp;_dd2=%26f%3Dsld%26c%3Dtrue%26os%3D121510%26oe%3D121521" TargetMode="External"/><Relationship Id="rId212" Type="http://schemas.openxmlformats.org/officeDocument/2006/relationships/hyperlink" Target="fdsup://factset/Doc%20Viewer%20Single?float_window=true&amp;positioning_strategy=center_on_screen&amp;_doc_docfn=U2FsdGVkX1/qSVjg+vehCWzzv/koDFwUne3ly22sCk53bPb+ev2XH+tJsiZKNXMONqL71ICms8m8TI7RRG6qA/5X7WcnIVvrFlSRw++WzE0=&amp;_app_id=central_doc_viewer&amp;center_on_screen=true&amp;width=950&amp;height=800&amp;_dd2=%26f%3Dsld%26c%3Dtrue%26os%3D64414%26oe%3D64420" TargetMode="External"/><Relationship Id="rId233" Type="http://schemas.openxmlformats.org/officeDocument/2006/relationships/hyperlink" Target="fdsup://factset/Doc%20Viewer%20Single?float_window=true&amp;positioning_strategy=center_on_screen&amp;_doc_docfn=U2FsdGVkX1/k2S0djhuBn7MQ/Dmek93yG+5YWtnlps3/rmwdTTVBXVOSKB/L3dwMmAAErPfzb/cQtrMxnSY00RVPTBMJuZhkV60FQlg0vU8=&amp;_app_id=central_doc_viewer&amp;center_on_screen=true&amp;width=950&amp;height=800&amp;_dd2=%26f%3Dsld%26c%3Dtrue%26os%3D62300%26oe%3D62301" TargetMode="External"/><Relationship Id="rId254" Type="http://schemas.openxmlformats.org/officeDocument/2006/relationships/hyperlink" Target="fdsup://factset/Doc%20Viewer%20Single?float_window=true&amp;positioning_strategy=center_on_screen&amp;_doc_docfn=U2FsdGVkX18U4lIQ11/VIyiIKLWn5j0REYKVbLUgPpOFNk0q3FhZeNngOc2hEpUQLw7j+QigFCPyzF80Z2bCSxX8C848EsxVRx8JfCtgLcs=&amp;_app_id=central_doc_viewer&amp;center_on_screen=true&amp;width=950&amp;height=800&amp;_dd2=%26f%3Dsld%26c%3Dtrue%26os%3D69194%26oe%3D69201" TargetMode="External"/><Relationship Id="rId28" Type="http://schemas.openxmlformats.org/officeDocument/2006/relationships/hyperlink" Target="fdsup://factset/Doc%20Viewer%20Single?float_window=true&amp;positioning_strategy=center_on_screen&amp;_doc_docfn=U2FsdGVkX18pp69bn3YjmVJWaqe4r7QLEhk3uamOdi9qI6WugnvDPldmXwzeMy0ySD8bA+gZF8RTsC9hXthaI5tfhci6Ss/6OyMyupJMGMA=&amp;_app_id=central_doc_viewer&amp;center_on_screen=true&amp;width=950&amp;height=800&amp;_dd2=%26f%3Dsld%26c%3Dtrue%26os%3D118873%26oe%3D118880" TargetMode="External"/><Relationship Id="rId49" Type="http://schemas.openxmlformats.org/officeDocument/2006/relationships/hyperlink" Target="fdsup://factset/Doc%20Viewer%20Single?float_window=true&amp;positioning_strategy=center_on_screen&amp;_doc_docfn=U2FsdGVkX1/LucACkiu3bHgz2scvFFSsUp72bwCROvKobF0AHlTbqDmO0b9DGSMkbEPrWCQ3OHNVFbgSZB6cgoom+78ZVR1UHd3dCUYaQi0=&amp;_app_id=central_doc_viewer&amp;center_on_screen=true&amp;width=950&amp;height=800&amp;_dd2=%26f%3Dsld%26c%3Dtrue%26os%3D1399791%26oe%3D1399797" TargetMode="External"/><Relationship Id="rId114" Type="http://schemas.openxmlformats.org/officeDocument/2006/relationships/hyperlink" Target="fdsup://factset/Doc%20Viewer%20Single?float_window=true&amp;positioning_strategy=center_on_screen&amp;_doc_docfn=U2FsdGVkX19QB3XHvndmbTWXWHW0LYM59IHO0oAgS472dwZNi4ZVf5h4qsRDIkQYkLNbQ6g2KRMA5cIndefcL7a/F+C/0XvfV8ideOq8g/Y=&amp;_app_id=central_doc_viewer&amp;center_on_screen=true&amp;width=950&amp;height=800&amp;_dd2=%26f%3Dsld%26c%3Dtrue%26os%3D61310%26oe%3D61319" TargetMode="External"/><Relationship Id="rId275" Type="http://schemas.openxmlformats.org/officeDocument/2006/relationships/hyperlink" Target="fdsup://factset/Doc%20Viewer%20Single?float_window=true&amp;positioning_strategy=center_on_screen&amp;_doc_docfn=U2FsdGVkX1+g4UpOHrB3+aQWH//TcsBuv6dtHaXLodGQwgLtMCJOUD+q1bMaaZY957xnHYqyT/JxCr5VFpbHiM1rYG1g94DS5SLwMQmsanM=&amp;_app_id=central_doc_viewer&amp;center_on_screen=true&amp;width=950&amp;height=800&amp;_dd2=%26f%3Dsld%26c%3Dtrue%26os%3D67560%26oe%3D67561" TargetMode="External"/><Relationship Id="rId296" Type="http://schemas.openxmlformats.org/officeDocument/2006/relationships/hyperlink" Target="fdsup://factset/Doc%20Viewer%20Single?float_window=true&amp;positioning_strategy=center_on_screen&amp;_doc_docfn=U2FsdGVkX19FL+7armULH7cAeCjNXNKhc82aZGcqjcHvfsf+xK4g+pUD2PNTLKmdcKryKTCc0tmCihhE1bZPRWFDz+syHOW9Sj5rTNaW+pY=&amp;_app_id=central_doc_viewer&amp;center_on_screen=true&amp;width=950&amp;height=800&amp;_dd2=%26f%3Dsld%26c%3Dtrue%26os%3D71651%26oe%3D71660" TargetMode="External"/><Relationship Id="rId300" Type="http://schemas.openxmlformats.org/officeDocument/2006/relationships/hyperlink" Target="fdsup://factset/Doc%20Viewer%20Single?float_window=true&amp;positioning_strategy=center_on_screen&amp;_doc_docfn=U2FsdGVkX197l3gIBucipW4Vz1ONEBbbhAHN9VwhboutIYBZd/3ypIV7UGCEuVNsTDlNnlJckOSplGtmeTVcZsjdzva0zj+YV1H3dPTwIa8=&amp;_app_id=central_doc_viewer&amp;center_on_screen=true&amp;width=950&amp;height=800&amp;_dd2=%26f%3Dsld%26c%3Dtrue%26os%3D70056%26oe%3D70061" TargetMode="External"/><Relationship Id="rId60" Type="http://schemas.openxmlformats.org/officeDocument/2006/relationships/hyperlink" Target="fdsup://factset/Doc%20Viewer%20Single?float_window=true&amp;positioning_strategy=center_on_screen&amp;_doc_docfn=U2FsdGVkX1+AJ5Zw1sYyxoi30gSNLenb7HOE+KclZi5NfcZiYoVc1NBWQ7NRkAGytYPSkltAgAtbnSVoR9RVEGGGdXkb9S0WAGoyB+Y8TQ4=&amp;_app_id=central_doc_viewer&amp;center_on_screen=true&amp;width=950&amp;height=800&amp;_dd2=%26f%3Dsld%26c%3Dtrue%26os%3D128658%26oe%3D128664" TargetMode="External"/><Relationship Id="rId81" Type="http://schemas.openxmlformats.org/officeDocument/2006/relationships/hyperlink" Target="fdsup://factset/Doc%20Viewer%20Single?float_window=true&amp;positioning_strategy=center_on_screen&amp;_doc_docfn=U2FsdGVkX18xYJoSwtOAEDxNGU4ZTvBpkPTKO7xhIR6iSKuxoXMerFvRMnZdU5l0fOLoxXBjyRbw0XQnV/aNRFGoPbqd3hI/E0g/4Y1w+QA=&amp;_app_id=central_doc_viewer&amp;center_on_screen=true&amp;width=950&amp;height=800&amp;_dd2=%26f%3Dsld%26c%3Dtrue%26os%3D129310%26oe%3D129316" TargetMode="External"/><Relationship Id="rId135" Type="http://schemas.openxmlformats.org/officeDocument/2006/relationships/hyperlink" Target="fdsup://factset/Doc%20Viewer%20Single?float_window=true&amp;positioning_strategy=center_on_screen&amp;_doc_docfn=U2FsdGVkX18oXDotrsZHaOtZQJjqTVVvbe7Sem33o5o3HQmEmhUDuUOypVzzii1slth7nWhhHqebC9HVOUzcjwJLwZyXCFm57K/YZRl8CLY=&amp;_app_id=central_doc_viewer&amp;center_on_screen=true&amp;width=950&amp;height=800&amp;_dd2=%26f%3Dsld%26c%3Dtrue%26os%3D57067%26oe%3D57073" TargetMode="External"/><Relationship Id="rId156" Type="http://schemas.openxmlformats.org/officeDocument/2006/relationships/hyperlink" Target="fdsup://factset/Doc%20Viewer%20Single?float_window=true&amp;positioning_strategy=center_on_screen&amp;_doc_docfn=U2FsdGVkX1/Yfm9ljIj/USg+fadlYKWIJyhXgHr7rTrTY1HcnqHlplfS+4oEYdZlJsmw+3UXHF9gpPVgsjveEJUodA9xgA7aGyt78gcz97Y=&amp;_app_id=central_doc_viewer&amp;center_on_screen=true&amp;width=950&amp;height=800&amp;_dd2=%26f%3Dsld%26c%3Dtrue%26os%3D58464%26oe%3D58469" TargetMode="External"/><Relationship Id="rId177" Type="http://schemas.openxmlformats.org/officeDocument/2006/relationships/hyperlink" Target="fdsup://factset/Doc%20Viewer%20Single?float_window=true&amp;positioning_strategy=center_on_screen&amp;_doc_docfn=U2FsdGVkX196i1XJXKZcReGGZQyVFGyraXM6/KI3lT1Uq/s/jRNTVGYgEN+c7ZVocoxXxC9k8oj2BPt3+hrajp1JbupBitndrqmE8qGQK94=&amp;_app_id=central_doc_viewer&amp;center_on_screen=true&amp;width=950&amp;height=800&amp;_dd2=%26f%3Dsld%26c%3Dtrue%26os%3D59223%26oe%3D59230" TargetMode="External"/><Relationship Id="rId198" Type="http://schemas.openxmlformats.org/officeDocument/2006/relationships/hyperlink" Target="fdsup://factset/Doc%20Viewer%20Single?float_window=true&amp;positioning_strategy=center_on_screen&amp;_doc_docfn=U2FsdGVkX1+F8DsgKUDCXYzoP5R+Y7y0NxynrVywBNmvRsqeLIoQNfo8vhnT6XTfwvJl+uEo9d7MiPgMZ0s200a2l/MCsIlD8qtrFq5MC2I=&amp;_app_id=central_doc_viewer&amp;center_on_screen=true&amp;width=950&amp;height=800&amp;_dd2=%26f%3Dsld%26c%3Dtrue%26os%3D68298%26oe%3D68305" TargetMode="External"/><Relationship Id="rId321" Type="http://schemas.openxmlformats.org/officeDocument/2006/relationships/hyperlink" Target="fdsup://factset/Doc%20Viewer%20Single?float_window=true&amp;positioning_strategy=center_on_screen&amp;_doc_docfn=U2FsdGVkX19NDWCwWfqUZ+aEv1LmdGuXubosGAp6miKqPsRT07zWFZMTbQQ/ta1ACK+ylNuz8CunoyimoTOPMrdYYZyzTT56D0W1IZ9p0dE=&amp;_app_id=central_doc_viewer&amp;center_on_screen=true&amp;width=950&amp;height=800&amp;_dd2=%26f%3Dsld%26c%3Dtrue%26os%3D65521%26oe%3D65527" TargetMode="External"/><Relationship Id="rId202" Type="http://schemas.openxmlformats.org/officeDocument/2006/relationships/hyperlink" Target="fdsup://factset/Doc%20Viewer%20Single?float_window=true&amp;positioning_strategy=center_on_screen&amp;_doc_docfn=U2FsdGVkX1+9TL/yTOoN1UxOSNLuqiMS6ZMO7fDMBKMBqqMTXlTks2BJzwxKrGPoEhoEBVV5SRW0IS3kmLz87BTAcB60vgYtrJi48RfvbE4=&amp;_app_id=central_doc_viewer&amp;center_on_screen=true&amp;width=950&amp;height=800&amp;_dd2=%26f%3Dsld%26c%3Dtrue%26os%3D1541680%26oe%3D1541689" TargetMode="External"/><Relationship Id="rId223" Type="http://schemas.openxmlformats.org/officeDocument/2006/relationships/hyperlink" Target="fdsup://factset/Doc%20Viewer%20Single?float_window=true&amp;positioning_strategy=center_on_screen&amp;_doc_docfn=U2FsdGVkX1/Vu51hY2DqRKzYZqv5NR3Tni/PH52PNvK5NPaP3mdUCmyEfZ3r+5Y7GVK/9QKJv+3b1G5uI1Q0UiIjqakLstZJQuXh0FEdXCI=&amp;_app_id=central_doc_viewer&amp;center_on_screen=true&amp;width=950&amp;height=800&amp;_dd2=%26f%3Dsld%26c%3Dtrue%26os%3D1534818%26oe%3D1534824" TargetMode="External"/><Relationship Id="rId244" Type="http://schemas.openxmlformats.org/officeDocument/2006/relationships/hyperlink" Target="fdsup://factset/Doc%20Viewer%20Single?float_window=true&amp;positioning_strategy=center_on_screen&amp;_doc_docfn=U2FsdGVkX1+Y8xVV1ATlmKXitUKBu4pieJevWM/fWd/+we4ZVz3IpKcdizyzRRK6yOGfamcP5cHJMznfj1+XF6Wunl8sgyxnBKbxwxkZ0PU=&amp;_app_id=central_doc_viewer&amp;center_on_screen=true&amp;width=950&amp;height=800&amp;_dd2=%26f%3Dsld%26c%3Dtrue%26os%3D66852%26oe%3D66858" TargetMode="External"/><Relationship Id="rId18" Type="http://schemas.openxmlformats.org/officeDocument/2006/relationships/hyperlink" Target="fdsup://factset/Doc%20Viewer%20Single?float_window=true&amp;positioning_strategy=center_on_screen&amp;_doc_docfn=U2FsdGVkX19vZ/+P357qgeC4r5tK94TVX9FVhcTxfSXhkRyG/UCJCt0veJ0kqHL/XtfmD4nE6FvSqiF1UO7FmDg1gn2YiyVY9rs/vqL85Us=&amp;_app_id=central_doc_viewer&amp;center_on_screen=true&amp;width=950&amp;height=800&amp;_dd2=%26f%3Dsld%26c%3Dtrue%26os%3D123246%26oe%3D123253" TargetMode="External"/><Relationship Id="rId39" Type="http://schemas.openxmlformats.org/officeDocument/2006/relationships/hyperlink" Target="fdsup://factset/Doc%20Viewer%20Single?float_window=true&amp;positioning_strategy=center_on_screen&amp;_doc_docfn=U2FsdGVkX195Y7O+GO+z5M0llCatmWdCPoJJONsfKaUpdDPFY39T9ZyQz23i1TzptAn47A6HczI1S09V0Stw6a48UhhMCqRSiv8iApk+1dM=&amp;_app_id=central_doc_viewer&amp;center_on_screen=true&amp;width=950&amp;height=800&amp;_dd2=%26f%3Dsld%26c%3Dtrue%26os%3D160634%26oe%3D160639" TargetMode="External"/><Relationship Id="rId265" Type="http://schemas.openxmlformats.org/officeDocument/2006/relationships/hyperlink" Target="fdsup://factset/Doc%20Viewer%20Single?float_window=true&amp;positioning_strategy=center_on_screen&amp;_doc_docfn=U2FsdGVkX1/SGUCgDZIA4xV7Y33MR5yDXK6roKh69tNQuZfd6sJPYY0FBLOiTSUhg3hmAbwQXnSo1GrN4C0yc+9lHtgbfPx+OeCwy1l8gAE=&amp;_app_id=central_doc_viewer&amp;center_on_screen=true&amp;width=950&amp;height=800&amp;_dd2=%26f%3Dsld%26c%3Dtrue%26os%3D1384226%26oe%3D1384231" TargetMode="External"/><Relationship Id="rId286" Type="http://schemas.openxmlformats.org/officeDocument/2006/relationships/hyperlink" Target="fdsup://factset/Doc%20Viewer%20Single?float_window=true&amp;positioning_strategy=center_on_screen&amp;_doc_docfn=U2FsdGVkX1/CaAq0b9poRoG+PRSlitjWtQJwxpv5yTi1ZOUl5QSR+eBI7VLvDOlxB/3196PrIyKI9Eqb0BstfjGWInAnKDxgXiwLXqJbKPQ=&amp;_app_id=central_doc_viewer&amp;center_on_screen=true&amp;width=950&amp;height=800&amp;_dd2=%26f%3Dsld%26c%3Dtrue%26os%3D70542%26oe%3D70550" TargetMode="External"/><Relationship Id="rId50" Type="http://schemas.openxmlformats.org/officeDocument/2006/relationships/hyperlink" Target="fdsup://factset/Doc%20Viewer%20Single?float_window=true&amp;positioning_strategy=center_on_screen&amp;_doc_docfn=U2FsdGVkX18frGe9nSEDubPY0KoFmUoYEdzhiYT1c70bAdvyYxaGx9y0WZMDmbJMf1z5c5avtx7z+6wzgJSTXUJKtWtnvRrkQrrAiE/UdxA=&amp;_app_id=central_doc_viewer&amp;center_on_screen=true&amp;width=950&amp;height=800&amp;_dd2=%26f%3Dsld%26c%3Dtrue%26os%3D125772%26oe%3D125779" TargetMode="External"/><Relationship Id="rId104" Type="http://schemas.openxmlformats.org/officeDocument/2006/relationships/hyperlink" Target="fdsup://factset/Doc%20Viewer%20Single?float_window=true&amp;positioning_strategy=center_on_screen&amp;_doc_docfn=U2FsdGVkX1+FMZp30F08XRM4GXBZsjnKMjJKGuNidhd9WPgof9Bbm1uQ6ncmlt/iircuR5Jz5ycWLb2cfCo6z6aphXLClENvYlNig8k7zpE=&amp;_app_id=central_doc_viewer&amp;center_on_screen=true&amp;width=950&amp;height=800&amp;_dd2=%26f%3Dsld%26c%3Dtrue%26os%3D135012%26oe%3D135018" TargetMode="External"/><Relationship Id="rId125" Type="http://schemas.openxmlformats.org/officeDocument/2006/relationships/hyperlink" Target="fdsup://factset/Doc%20Viewer%20Single?float_window=true&amp;positioning_strategy=center_on_screen&amp;_doc_docfn=U2FsdGVkX1/WHbVeh2h3Sn5XlsZAXfqoHODMu9xcpEFqpk4WABmLM4ogq+KOBDCgh6xOkiZ5Z5k6a9WgxlP2m4uiZbmlWQmBouQZDJfVVVk=&amp;_app_id=central_doc_viewer&amp;center_on_screen=true&amp;width=950&amp;height=800&amp;_dd2=%26f%3Dsld%26c%3Dtrue%26os%3D1371468%26oe%3D1371475" TargetMode="External"/><Relationship Id="rId146" Type="http://schemas.openxmlformats.org/officeDocument/2006/relationships/hyperlink" Target="fdsup://factset/Doc%20Viewer%20Single?float_window=true&amp;positioning_strategy=center_on_screen&amp;_doc_docfn=U2FsdGVkX1+5AsrYJF00Ewmj1efMNOG+GZYzzZjbJ88WnX3XLUtLg09yVjQi5i8GRZZagX38Hp2B8SDaoRe0wgZhecXWUgrAsDy3Kh5BltM=&amp;_app_id=central_doc_viewer&amp;center_on_screen=true&amp;width=950&amp;height=800&amp;_dd2=%26f%3Dsld%26c%3Dtrue%26os%3D1369593%26oe%3D1369599" TargetMode="External"/><Relationship Id="rId167" Type="http://schemas.openxmlformats.org/officeDocument/2006/relationships/hyperlink" Target="fdsup://factset/Doc%20Viewer%20Single?float_window=true&amp;positioning_strategy=center_on_screen&amp;_doc_docfn=U2FsdGVkX1/afF1Yizv/IJ4mgeP7Yfix8OyaMCt0M9co4LAtvuL4P4Qdrzu+xjRZ7K8Pnmnob6WWYxxSGrN3s6cnu3PuGNutee3PO7f0y3s=&amp;_app_id=central_doc_viewer&amp;center_on_screen=true&amp;width=950&amp;height=800&amp;_dd2=%26f%3Dsld%26c%3Dtrue%26os%3D62091%26oe%3D62098" TargetMode="External"/><Relationship Id="rId188" Type="http://schemas.openxmlformats.org/officeDocument/2006/relationships/hyperlink" Target="fdsup://factset/Doc%20Viewer%20Single?float_window=true&amp;positioning_strategy=center_on_screen&amp;_doc_docfn=U2FsdGVkX187Ud4EQRvF1TL4jE+PlUubBx5+2HyGHh4qCnHTSIVfEIbZwQWVpTRS6kEzcLwTiutZn7MWJmtg5Mze/NX2XDUrS8iFPVlLh00=&amp;_app_id=central_doc_viewer&amp;center_on_screen=true&amp;width=950&amp;height=800&amp;_dd2=%26f%3Dsld%26c%3Dtrue%26os%3D1530627%26oe%3D1530632" TargetMode="External"/><Relationship Id="rId311" Type="http://schemas.openxmlformats.org/officeDocument/2006/relationships/hyperlink" Target="fdsup://factset/Doc%20Viewer%20Single?float_window=true&amp;positioning_strategy=center_on_screen&amp;_doc_docfn=U2FsdGVkX18KcVxgd/vHsmhueFcZWJDSzOWMuN24lMLrWWLpC3HDjQjc8ZUU76bXPIaRgEat/b7kIaEqKjXsLtN+ad/H9h7BiE3D3jA9vrw=&amp;_app_id=central_doc_viewer&amp;center_on_screen=true&amp;width=950&amp;height=800&amp;_dd2=%26f%3Dsld%26c%3Dtrue%26os%3D74129%26oe%3D74131" TargetMode="External"/><Relationship Id="rId332" Type="http://schemas.openxmlformats.org/officeDocument/2006/relationships/hyperlink" Target="fdsup://factset/Doc%20Viewer%20Single?float_window=true&amp;positioning_strategy=center_on_screen&amp;_doc_docfn=U2FsdGVkX19+n6GYegiZAe5S3FcsXYIXCMm3RbW9UV5hFF58x+fcT1q/S5DounnRbWCfWcOlmjWbbPhiqMOgZRd/Ob4uyZmszBOkbCsaWuU=&amp;_app_id=central_doc_viewer&amp;center_on_screen=true&amp;width=950&amp;height=800&amp;_dd2=%26f%3Dsld%26c%3Dtrue%26os%3D60914%26oe%3D60921" TargetMode="External"/><Relationship Id="rId71" Type="http://schemas.openxmlformats.org/officeDocument/2006/relationships/hyperlink" Target="fdsup://factset/Doc%20Viewer%20Single?float_window=true&amp;positioning_strategy=center_on_screen&amp;_doc_docfn=U2FsdGVkX1/uCWkyE6Ag7WzTjU1adH/GcLx7/6t8U2UY0KOGwHBJIN6OR0X4ug78Z7MMWLe8uzDfXGrPkCn2gxig8bzapLVQyyHJfnpFiqg=&amp;_app_id=central_doc_viewer&amp;center_on_screen=true&amp;width=950&amp;height=800&amp;_dd2=%26f%3Dsld%26c%3Dtrue%26os%3D163189%26oe%3D163195" TargetMode="External"/><Relationship Id="rId92" Type="http://schemas.openxmlformats.org/officeDocument/2006/relationships/hyperlink" Target="fdsup://factset/Doc%20Viewer%20Single?float_window=true&amp;positioning_strategy=center_on_screen&amp;_doc_docfn=U2FsdGVkX1+dF7LAmibQB2GHtlCmgkegpwa5vkxKVKsIpuLlGnWB6gGp6/ZN+pCnwtTm2HxEur6p2jiyzma2+ognMjAKEOukqtQQmPAGKTM=&amp;_app_id=central_doc_viewer&amp;center_on_screen=true&amp;width=950&amp;height=800&amp;_dd2=%26f%3Dsld%26c%3Dtrue%26os%3D125096%26oe%3D125103" TargetMode="External"/><Relationship Id="rId213" Type="http://schemas.openxmlformats.org/officeDocument/2006/relationships/hyperlink" Target="fdsup://factset/Doc%20Viewer%20Single?float_window=true&amp;positioning_strategy=center_on_screen&amp;_doc_docfn=U2FsdGVkX1+0JP1flAtmPcPJmA3A/jEYYocL+SXhdanimia+ibHdUOFlsKD0+yF7oCPk4JhRCj3iWtcaAbtP+hCHTcrLw8Dhxqb/JOGiKI8=&amp;_app_id=central_doc_viewer&amp;center_on_screen=true&amp;width=950&amp;height=800&amp;_dd2=%26f%3Dsld%26c%3Dtrue%26os%3D62044%26oe%3D62050" TargetMode="External"/><Relationship Id="rId234" Type="http://schemas.openxmlformats.org/officeDocument/2006/relationships/hyperlink" Target="fdsup://factset/Doc%20Viewer%20Single?float_window=true&amp;positioning_strategy=center_on_screen&amp;_doc_docfn=U2FsdGVkX1/eHmxj3sWWUzqzEgo9jG0XVnlmUBX9lSDxlpLRMkjxXxT8KyYlctw5zoq4at8dGfd0w9aS5g/wsG+sOam05LcKDb393EzQnCw=&amp;_app_id=central_doc_viewer&amp;center_on_screen=true&amp;width=950&amp;height=800&amp;_dd2=%26f%3Dsld%26c%3Dtrue%26os%3D1536030%26oe%3D1536035" TargetMode="External"/><Relationship Id="rId2" Type="http://schemas.openxmlformats.org/officeDocument/2006/relationships/hyperlink" Target="fdsup://factset/Doc%20Viewer%20Single?float_window=true&amp;positioning_strategy=center_on_screen&amp;_doc_docfn=U2FsdGVkX1/NmKP7e8fRi9+pQwEk7PgUSm/5swtD1UGU8peB2UY4DrpSO4KggAbSB4zN3do6NXWykxumcIbwgTLJsx1xXlXY1EtuJwxeGX0=&amp;_app_id=central_doc_viewer&amp;center_on_screen=true&amp;width=950&amp;height=800&amp;_dd2=%26f%3Dsld%26c%3Dtrue%26os%3D121896%26oe%3D121907" TargetMode="External"/><Relationship Id="rId29" Type="http://schemas.openxmlformats.org/officeDocument/2006/relationships/hyperlink" Target="fdsup://factset/Doc%20Viewer%20Single?float_window=true&amp;positioning_strategy=center_on_screen&amp;_doc_docfn=U2FsdGVkX18oOr8+CM+oiEcsDHIKHJMS1PIlmw5yqV9BckjawjlsJ4Ft792VxCIT5JNs/hraV0q3HAC3F4NE8bdb9PeAmbzggLkPQ5rGk0g=&amp;_app_id=central_doc_viewer&amp;center_on_screen=true&amp;width=950&amp;height=800&amp;_dd2=%26f%3Dsld%26c%3Dtrue%26os%3D159913%26oe%3D159920" TargetMode="External"/><Relationship Id="rId255" Type="http://schemas.openxmlformats.org/officeDocument/2006/relationships/hyperlink" Target="fdsup://factset/Doc%20Viewer%20Single?float_window=true&amp;positioning_strategy=center_on_screen&amp;_doc_docfn=U2FsdGVkX1+Rs9ieQX7bzF2rQ5EszGZJdUSGSoE0e9h29qECWEcZ0iXAkeAuOtW+ABvSMXQIT7G5K5eYwX1DZUrKEaXPzS8GQyTxi3ErAAE=&amp;_app_id=central_doc_viewer&amp;center_on_screen=true&amp;width=950&amp;height=800&amp;_dd2=%26f%3Dsld%26c%3Dtrue%26os%3D1539776%26oe%3D1539785" TargetMode="External"/><Relationship Id="rId276" Type="http://schemas.openxmlformats.org/officeDocument/2006/relationships/hyperlink" Target="fdsup://factset/Doc%20Viewer%20Single?float_window=true&amp;positioning_strategy=center_on_screen&amp;_doc_docfn=U2FsdGVkX19FvBVPBHz2ot4nnYFKtEn0HmTsun9d/QB4Ib6/u4d522zCdjInVVgFTIXlDjyXxDeSILDYEj0GY4yR6GiBnZ3hzKfs8grn5+4=&amp;_app_id=central_doc_viewer&amp;center_on_screen=true&amp;width=950&amp;height=800&amp;_dd2=%26f%3Dsld%26c%3Dtrue%26os%3D66491%26oe%3D66492" TargetMode="External"/><Relationship Id="rId297" Type="http://schemas.openxmlformats.org/officeDocument/2006/relationships/hyperlink" Target="fdsup://factset/Doc%20Viewer%20Single?float_window=true&amp;positioning_strategy=center_on_screen&amp;_doc_docfn=U2FsdGVkX19ho9a4Bip4HKOaNXKZfVqUPlo7MQnDjHs3w8AtIXIR+vKfFDl9IIiShceDQbAv5bUK3jzDsFQoUQqWBj9b5+tCPO7avOLkGOI=&amp;_app_id=central_doc_viewer&amp;center_on_screen=true&amp;width=950&amp;height=800&amp;_dd2=%26f%3Dsld%26c%3Dtrue%26os%3D69633%26oe%3D69641" TargetMode="External"/><Relationship Id="rId40" Type="http://schemas.openxmlformats.org/officeDocument/2006/relationships/hyperlink" Target="fdsup://factset/Doc%20Viewer%20Single?float_window=true&amp;positioning_strategy=center_on_screen&amp;_doc_docfn=U2FsdGVkX1/9ySW7voOPdaen6NVLXscGa/lE5NSUPGuwLrFKb3Zrf7rNCXTG6RPwaW9BQFqdKzqMH2GzErD5O5ARKiLhJBztcGEoVyzPjQA=&amp;_app_id=central_doc_viewer&amp;center_on_screen=true&amp;width=950&amp;height=800&amp;_dd2=%26f%3Dsld%26c%3Dtrue%26os%3D163728%26oe%3D163733" TargetMode="External"/><Relationship Id="rId115" Type="http://schemas.openxmlformats.org/officeDocument/2006/relationships/hyperlink" Target="fdsup://factset/Doc%20Viewer%20Single?float_window=true&amp;positioning_strategy=center_on_screen&amp;_doc_docfn=U2FsdGVkX19Usz8tEOCUjHvcOwRxj31dz2dohJuUQRPxVQPz3Pys74ZqdTcuaQ4i5gjTD+tPt5e7J5W7sB1pXA6rG2GWjlLVxZia9kmsqbU=&amp;_app_id=central_doc_viewer&amp;center_on_screen=true&amp;width=950&amp;height=800&amp;_dd2=%26f%3Dsld%26c%3Dtrue%26os%3D60168%26oe%3D60177" TargetMode="External"/><Relationship Id="rId136" Type="http://schemas.openxmlformats.org/officeDocument/2006/relationships/hyperlink" Target="fdsup://factset/Doc%20Viewer%20Single?float_window=true&amp;positioning_strategy=center_on_screen&amp;_doc_docfn=U2FsdGVkX1/OAsL/3w3GmY1hS8W8+Qewr46MhPMzdFrqOIV0l9D/dbBNXGZXnBHPrbpF0d5v/Fl0t1UqzZr3o/Tj6Vqo6vVyOdtLS+iqGwg=&amp;_app_id=central_doc_viewer&amp;center_on_screen=true&amp;width=950&amp;height=800&amp;_dd2=%26f%3Dsld%26c%3Dtrue%26os%3D55801%26oe%3D55807" TargetMode="External"/><Relationship Id="rId157" Type="http://schemas.openxmlformats.org/officeDocument/2006/relationships/hyperlink" Target="fdsup://factset/Doc%20Viewer%20Single?float_window=true&amp;positioning_strategy=center_on_screen&amp;_doc_docfn=U2FsdGVkX1/lsQMukuIIQHQ+VoDPLjY3nPgjVqn6NWimtcEoCA2YQcCBJjvPOzqVc3nU4Xzi1BFJYotH1UO2Qiul/sqiixsFR6HzcYxaaZE=&amp;_app_id=central_doc_viewer&amp;center_on_screen=true&amp;width=950&amp;height=800&amp;_dd2=%26f%3Dsld%26c%3Dtrue%26os%3D57238%26oe%3D57243" TargetMode="External"/><Relationship Id="rId178" Type="http://schemas.openxmlformats.org/officeDocument/2006/relationships/hyperlink" Target="fdsup://factset/Doc%20Viewer%20Single?float_window=true&amp;positioning_strategy=center_on_screen&amp;_doc_docfn=U2FsdGVkX1+W9b2Qzd0+uLiLgKxx9T72xEGNzaNKS8tsCJHQDDzb3VfUyDpCaHfPZiUCMTJLci2sSjnKXnrZAT4CM+FOalqrQ/DA/mc19Uc=&amp;_app_id=central_doc_viewer&amp;center_on_screen=true&amp;width=950&amp;height=800&amp;_dd2=%26f%3Dsld%26c%3Dtrue%26os%3D64482%26oe%3D64489" TargetMode="External"/><Relationship Id="rId301" Type="http://schemas.openxmlformats.org/officeDocument/2006/relationships/hyperlink" Target="fdsup://factset/Doc%20Viewer%20Single?float_window=true&amp;positioning_strategy=center_on_screen&amp;_doc_docfn=U2FsdGVkX19Xz50B/6CwC0xxWphPQj0M7fUmWAUTBGNNigJxy4Hs87pFaMy8OaXQ8/TDjNklHB4CWNm5hR0dIJ9Jbia71Nb7RuV+wNKsKgI=&amp;_app_id=central_doc_viewer&amp;center_on_screen=true&amp;width=950&amp;height=800&amp;_dd2=%26f%3Dsld%26c%3Dtrue%26os%3D1543445%26oe%3D1543451" TargetMode="External"/><Relationship Id="rId322" Type="http://schemas.openxmlformats.org/officeDocument/2006/relationships/hyperlink" Target="fdsup://factset/Doc%20Viewer%20Single?float_window=true&amp;positioning_strategy=center_on_screen&amp;_doc_docfn=U2FsdGVkX19eALcruYeszbM7kXIOuXmGB8Vrm3PmzKHwgfJY3it9hG8CL7y0B/+uF4muHCY4yywxp9CrNpq5gMNjmPpbiTc59b+8wyOfNFo=&amp;_app_id=central_doc_viewer&amp;center_on_screen=true&amp;width=950&amp;height=800&amp;_dd2=%26f%3Dsld%26c%3Dtrue%26os%3D64981%26oe%3D64986" TargetMode="External"/><Relationship Id="rId61" Type="http://schemas.openxmlformats.org/officeDocument/2006/relationships/hyperlink" Target="fdsup://factset/Doc%20Viewer%20Single?float_window=true&amp;positioning_strategy=center_on_screen&amp;_doc_docfn=U2FsdGVkX1/1FVV/ue1xOnvu9ylD+yugWCHzyEnDVjEE82koUyNLWR4QB1wvnzANkdwKfl5T0Cp1djWOiPKVSer/92o6+BfXXTXjox2++L4=&amp;_app_id=central_doc_viewer&amp;center_on_screen=true&amp;width=950&amp;height=800&amp;_dd2=%26f%3Dsld%26c%3Dtrue%26os%3D125067%26oe%3D125073" TargetMode="External"/><Relationship Id="rId82" Type="http://schemas.openxmlformats.org/officeDocument/2006/relationships/hyperlink" Target="fdsup://factset/Doc%20Viewer%20Single?float_window=true&amp;positioning_strategy=center_on_screen&amp;_doc_docfn=U2FsdGVkX1+PYkbakj7FzQ8mfs4/dGWVcsK2qyHhGLo/89x7y1kvVJsvhPYDLPN9PU7AwvGNbYozQ3MaiAbQV0UKBMMd/fsk0o33Qdg4g00=&amp;_app_id=central_doc_viewer&amp;center_on_screen=true&amp;width=950&amp;height=800&amp;_dd2=%26f%3Dsld%26c%3Dtrue%26os%3D129579%26oe%3D129585" TargetMode="External"/><Relationship Id="rId199" Type="http://schemas.openxmlformats.org/officeDocument/2006/relationships/hyperlink" Target="fdsup://factset/Doc%20Viewer%20Single?float_window=true&amp;positioning_strategy=center_on_screen&amp;_doc_docfn=U2FsdGVkX1+dcDT0z6oa2zwtJaRrD7bThE7y/yxu5tNFp90a4vNrOKZexvOjltnM4oF5AuEJVZwE0EDQzcoIDcbYtdnddBPOLKYe1eNB0NQ=&amp;_app_id=central_doc_viewer&amp;center_on_screen=true&amp;width=950&amp;height=800&amp;_dd2=%26f%3Dsld%26c%3Dtrue%26os%3D66428%26oe%3D66435" TargetMode="External"/><Relationship Id="rId203" Type="http://schemas.openxmlformats.org/officeDocument/2006/relationships/hyperlink" Target="fdsup://factset/Doc%20Viewer%20Single?float_window=true&amp;positioning_strategy=center_on_screen&amp;_doc_docfn=U2FsdGVkX1+xwrONiOE1K70So9PwmpgDyiCPxWCdbtmOBSw/oeuXxhmme1fxq2VeCbiOBH+j3eRtuCM73U3MrndxHz7pxh8gYyMtBqVuBds=&amp;_app_id=central_doc_viewer&amp;center_on_screen=true&amp;width=950&amp;height=800&amp;_dd2=%26f%3Dsld%26c%3Dtrue%26os%3D1385468%26oe%3D1385477" TargetMode="External"/><Relationship Id="rId19" Type="http://schemas.openxmlformats.org/officeDocument/2006/relationships/hyperlink" Target="fdsup://factset/Doc%20Viewer%20Single?float_window=true&amp;positioning_strategy=center_on_screen&amp;_doc_docfn=U2FsdGVkX18UlPa+0BtTVnqVGULtlnm36+BvHgzvNZB/np/yqySgBDA1P4hA03/Gg6oAcY/hOCqd9ujpEVrlNe/F5Rlw4J9sXwqdpBLo3QQ=&amp;_app_id=central_doc_viewer&amp;center_on_screen=true&amp;width=950&amp;height=800&amp;_dd2=%26f%3Dsld%26c%3Dtrue%26os%3D120448%26oe%3D120455" TargetMode="External"/><Relationship Id="rId224" Type="http://schemas.openxmlformats.org/officeDocument/2006/relationships/hyperlink" Target="fdsup://factset/Doc%20Viewer%20Single?float_window=true&amp;positioning_strategy=center_on_screen&amp;_doc_docfn=U2FsdGVkX1/V3KnuBHJsryDmw8pGDrMIw1gkhB/uDTQCN9NZJMPD0ygIGKsOZvC4WYILEu2W8IIa76aYwvfuiMM9H+RHojWqpPtT7d1FRq8=&amp;_app_id=central_doc_viewer&amp;center_on_screen=true&amp;width=950&amp;height=800&amp;_dd2=%26f%3Dsld%26c%3Dtrue%26os%3D1378622%26oe%3D1378628" TargetMode="External"/><Relationship Id="rId245" Type="http://schemas.openxmlformats.org/officeDocument/2006/relationships/hyperlink" Target="fdsup://factset/Doc%20Viewer%20Single?float_window=true&amp;positioning_strategy=center_on_screen&amp;_doc_docfn=U2FsdGVkX1/+hNEgbRhw3ZniVGUdiYfbkvcWCZOrkEDEIOjZqXT1nkD/MGtHrtr3U/ZN/GN6fWAuGutzttHQwr06AOSIiSil6PvmNLmmQRE=&amp;_app_id=central_doc_viewer&amp;center_on_screen=true&amp;width=950&amp;height=800&amp;_dd2=%26f%3Dsld%26c%3Dtrue%26os%3D64970%26oe%3D64976" TargetMode="External"/><Relationship Id="rId266" Type="http://schemas.openxmlformats.org/officeDocument/2006/relationships/hyperlink" Target="fdsup://factset/Doc%20Viewer%20Single?float_window=true&amp;positioning_strategy=center_on_screen&amp;_doc_docfn=U2FsdGVkX1/tQdGyYT2zXE3UlIlig5r5x8A+iPBAjZlUcb5BIFMspM20Vd0j3T+svCxKKQYysdw+SeodLIPR2sEJfoGoWt/BYqQG8AGLVkY=&amp;_app_id=central_doc_viewer&amp;center_on_screen=true&amp;width=950&amp;height=800&amp;_dd2=%26f%3Dsld%26c%3Dtrue%26os%3D71949%26oe%3D71958" TargetMode="External"/><Relationship Id="rId287" Type="http://schemas.openxmlformats.org/officeDocument/2006/relationships/hyperlink" Target="fdsup://factset/Doc%20Viewer%20Single?float_window=true&amp;positioning_strategy=center_on_screen&amp;_doc_docfn=U2FsdGVkX18f8LBADE0N2wVb/sd7hqa4EKJJJ4SFSBVBegqO2FE9U13TDt+kw0n6Jrja2OzxrU8lb+4fFTP77n3E5RHEBIqys01lpJ7UgLc=&amp;_app_id=central_doc_viewer&amp;center_on_screen=true&amp;width=950&amp;height=800&amp;_dd2=%26f%3Dsld%26c%3Dtrue%26os%3D68575%26oe%3D68584" TargetMode="External"/><Relationship Id="rId30" Type="http://schemas.openxmlformats.org/officeDocument/2006/relationships/hyperlink" Target="fdsup://factset/Doc%20Viewer%20Single?float_window=true&amp;positioning_strategy=center_on_screen&amp;_doc_docfn=U2FsdGVkX19WlEdKTX4RYH3NOntiKKE5fLpA7YUaQjHhP2DEx1U1jHfeR3ePJcv/IP1lEVzSxtLcxreQcCeaP09px6BCk8zn1y9HbkgzEWE=&amp;_app_id=central_doc_viewer&amp;center_on_screen=true&amp;width=950&amp;height=800&amp;_dd2=%26f%3Dsld%26c%3Dtrue%26os%3D163019%26oe%3D163026" TargetMode="External"/><Relationship Id="rId105" Type="http://schemas.openxmlformats.org/officeDocument/2006/relationships/hyperlink" Target="fdsup://factset/Doc%20Viewer%20Single?float_window=true&amp;positioning_strategy=center_on_screen&amp;_doc_docfn=U2FsdGVkX19iJpw62S8Xuv7nzwhfOEeyM266xyy3/CIgXAC4XzJViWQW/ekRIj8hSA1q26XqWgf8Wvp3sl2vvXjUGSWv7lWUFua5g3754yc=&amp;_app_id=central_doc_viewer&amp;center_on_screen=true&amp;width=950&amp;height=800&amp;_dd2=%26f%3Dsld%26c%3Dtrue%26os%3D135217%26oe%3D135223" TargetMode="External"/><Relationship Id="rId126" Type="http://schemas.openxmlformats.org/officeDocument/2006/relationships/hyperlink" Target="fdsup://factset/Doc%20Viewer%20Single?float_window=true&amp;positioning_strategy=center_on_screen&amp;_doc_docfn=U2FsdGVkX18UbBYwEsUGHrQZ0xZwwT/d+/CuEA6hgFk8jHWCoDuPDJZuv6xSJUYOgCUF6G13opCC0ftFthHCPsb4+kWxAf31I/KY7+Oiie4=&amp;_app_id=central_doc_viewer&amp;center_on_screen=true&amp;width=950&amp;height=800&amp;_dd2=%26f%3Dsld%26c%3Dtrue%26os%3D58767%26oe%3D58776" TargetMode="External"/><Relationship Id="rId147" Type="http://schemas.openxmlformats.org/officeDocument/2006/relationships/hyperlink" Target="fdsup://factset/Doc%20Viewer%20Single?float_window=true&amp;positioning_strategy=center_on_screen&amp;_doc_docfn=U2FsdGVkX18sWdz3xpS2KZNCmPmGR2hhRXIIc9GYJ8ekI5fEYn4Gzp8mhub+pE/T01t+mGxVcYsRIoNN3cl8eg0zTwzoHe1WalLZh1EJxPQ=&amp;_app_id=central_doc_viewer&amp;center_on_screen=true&amp;width=950&amp;height=800&amp;_dd2=%26f%3Dsld%26c%3Dtrue%26os%3D1370207%26oe%3D1370212" TargetMode="External"/><Relationship Id="rId168" Type="http://schemas.openxmlformats.org/officeDocument/2006/relationships/hyperlink" Target="fdsup://factset/Doc%20Viewer%20Single?float_window=true&amp;positioning_strategy=center_on_screen&amp;_doc_docfn=U2FsdGVkX1+AaIRfQX67+rWDYo45mumE1XchkCCYY8BoODVGJ9pLnSq+TFwPL1Hyr78azCjWXnYL7OZhyvCSm7opXFM07pC6eIe/+wEdpGM=&amp;_app_id=central_doc_viewer&amp;center_on_screen=true&amp;width=950&amp;height=800&amp;_dd2=%26f%3Dsld%26c%3Dtrue%26os%3D62264%26oe%3D62271" TargetMode="External"/><Relationship Id="rId312" Type="http://schemas.openxmlformats.org/officeDocument/2006/relationships/hyperlink" Target="fdsup://factset/Doc%20Viewer%20Single?float_window=true&amp;positioning_strategy=center_on_screen&amp;_doc_docfn=U2FsdGVkX18AzXFid3LtjpH4reoNPUEY2iFTa4nB7jnyQzt8mwKWxwPOwhRv3zPP5XXLWy/EVx1M1QwqLW8EwDN/ut/IHQ0tIyO+oEcxoUg=&amp;_app_id=central_doc_viewer&amp;center_on_screen=true&amp;width=950&amp;height=800&amp;_dd2=%26f%3Dsld%26c%3Dtrue%26os%3D72712%26oe%3D72714" TargetMode="External"/><Relationship Id="rId333" Type="http://schemas.openxmlformats.org/officeDocument/2006/relationships/hyperlink" Target="fdsup://factset/Doc%20Viewer%20Single?float_window=true&amp;positioning_strategy=center_on_screen&amp;_doc_docfn=U2FsdGVkX1+IhUr84e2mgwvR+p36FYvJfKj7hJ5LzsC2friabAl4m9n7jLTyj6LuDF2MqrY9UG0M2/RGeCrBxqY/eDCwVYbJoeyrz7m3RdA=&amp;_app_id=central_doc_viewer&amp;center_on_screen=true&amp;width=950&amp;height=800&amp;_dd2=%26f%3Dsld%26c%3Dtrue%26os%3D59928%26oe%3D59934" TargetMode="External"/><Relationship Id="rId51" Type="http://schemas.openxmlformats.org/officeDocument/2006/relationships/hyperlink" Target="fdsup://factset/Doc%20Viewer%20Single?float_window=true&amp;positioning_strategy=center_on_screen&amp;_doc_docfn=U2FsdGVkX1/Rgh0D83qlCyVuK/FAO5U7KvwvpKlqrf4kenFrCmBkE1/T7H2Z6fI39zbw2tBAm8K7AjN84RgrVMfFGW16BdBbDAmcDhY3aKE=&amp;_app_id=central_doc_viewer&amp;center_on_screen=true&amp;width=950&amp;height=800&amp;_dd2=%26f%3Dsld%26c%3Dtrue%26os%3D125971%26oe%3D125978" TargetMode="External"/><Relationship Id="rId72" Type="http://schemas.openxmlformats.org/officeDocument/2006/relationships/hyperlink" Target="fdsup://factset/Doc%20Viewer%20Single?float_window=true&amp;positioning_strategy=center_on_screen&amp;_doc_docfn=U2FsdGVkX19sNwRnu/vMKvY2yGgu/QWLFLxwFko3S3JITBC5DRJ1tJGtLIEuDAy1o1iBQ5w5x9VEAhR8oaOR3RAPtDPAuyl8l71tIqwO9wo=&amp;_app_id=central_doc_viewer&amp;center_on_screen=true&amp;width=950&amp;height=800&amp;_dd2=%26f%3Dsld%26c%3Dtrue%26os%3D166242%26oe%3D166248" TargetMode="External"/><Relationship Id="rId93" Type="http://schemas.openxmlformats.org/officeDocument/2006/relationships/hyperlink" Target="fdsup://factset/Doc%20Viewer%20Single?float_window=true&amp;positioning_strategy=center_on_screen&amp;_doc_docfn=U2FsdGVkX1/TBHGceIIMqg+H9ovcfznUnni4CfGSwBd7ujRNF1ZUpvtYSYaxR3sSeKq9Ug0L/en/LxZ7jLHwA3BsQtKOVzLtna7z0SGBdE0=&amp;_app_id=central_doc_viewer&amp;center_on_screen=true&amp;width=950&amp;height=800&amp;_dd2=%26f%3Dsld%26c%3Dtrue%26os%3D166215%26oe%3D166222" TargetMode="External"/><Relationship Id="rId189" Type="http://schemas.openxmlformats.org/officeDocument/2006/relationships/hyperlink" Target="fdsup://factset/Doc%20Viewer%20Single?float_window=true&amp;positioning_strategy=center_on_screen&amp;_doc_docfn=U2FsdGVkX1/xW8b9Qg6ZEQdBiwaixVwC8Tl97ZBY4M/YQKkxSxwzhrdU9NGvmnIiJb2JGv3jS/GkO6D2pkhESOzkv1IqJZtPdX2Bg4H1pxw=&amp;_app_id=central_doc_viewer&amp;center_on_screen=true&amp;width=950&amp;height=800&amp;_dd2=%26f%3Dsld%26c%3Dtrue%26os%3D1374478%26oe%3D1374483" TargetMode="External"/><Relationship Id="rId3" Type="http://schemas.openxmlformats.org/officeDocument/2006/relationships/hyperlink" Target="fdsup://factset/Doc%20Viewer%20Single?float_window=true&amp;positioning_strategy=center_on_screen&amp;_doc_docfn=U2FsdGVkX1/GQIEQVLuZhXEtCVL9f/LSSN2k0dbby4AQ2qp+navL5HkPfgbfTGPwlPxBqcTjurBodqAKYrWad/DvKsKpATnBPBC2r27IHZA=&amp;_app_id=central_doc_viewer&amp;center_on_screen=true&amp;width=950&amp;height=800&amp;_dd2=%26f%3Dsld%26c%3Dtrue%26os%3D119086%26oe%3D119097" TargetMode="External"/><Relationship Id="rId214" Type="http://schemas.openxmlformats.org/officeDocument/2006/relationships/hyperlink" Target="fdsup://factset/Doc%20Viewer%20Single?float_window=true&amp;positioning_strategy=center_on_screen&amp;_doc_docfn=U2FsdGVkX1+qVDSmvMXLAybD2GqwRL1rgkFpyigOEvArQ2DdhpKeaHp7dJoYyF3ckKQbT/4UpB76EGHR46fMd6Dhu/XRMEgAe9CbeUityHs=&amp;_app_id=central_doc_viewer&amp;center_on_screen=true&amp;width=950&amp;height=800&amp;_dd2=%26f%3Dsld%26c%3Dtrue%26os%3D60916%26oe%3D60922" TargetMode="External"/><Relationship Id="rId235" Type="http://schemas.openxmlformats.org/officeDocument/2006/relationships/hyperlink" Target="fdsup://factset/Doc%20Viewer%20Single?float_window=true&amp;positioning_strategy=center_on_screen&amp;_doc_docfn=U2FsdGVkX1/RdUcdDsVKvlp+3XvSis2MqXDQ3v/Zbcs3qntw2Vy6HdXQima4GP1t/JMwPtm5meL4ZirayBwY64yfzTUfg2M/0mO+9StuClY=&amp;_app_id=central_doc_viewer&amp;center_on_screen=true&amp;width=950&amp;height=800&amp;_dd2=%26f%3Dsld%26c%3Dtrue%26os%3D1379834%26oe%3D1379839" TargetMode="External"/><Relationship Id="rId256" Type="http://schemas.openxmlformats.org/officeDocument/2006/relationships/hyperlink" Target="fdsup://factset/Doc%20Viewer%20Single?float_window=true&amp;positioning_strategy=center_on_screen&amp;_doc_docfn=U2FsdGVkX1/vBacKjGP0rsL46wB45ezZCqPPw89DlDPsG0Q/CoHoOmL6iHA7InoyY5YDeyzpmMW08Qe8nXjnDb5VdeU5BkBpor9eUuiOiwE=&amp;_app_id=central_doc_viewer&amp;center_on_screen=true&amp;width=950&amp;height=800&amp;_dd2=%26f%3Dsld%26c%3Dtrue%26os%3D1383566%26oe%3D1383573" TargetMode="External"/><Relationship Id="rId277" Type="http://schemas.openxmlformats.org/officeDocument/2006/relationships/hyperlink" Target="fdsup://factset/Doc%20Viewer%20Single?float_window=true&amp;positioning_strategy=center_on_screen&amp;_doc_docfn=U2FsdGVkX1/zRsbNwV1EzAdlIo1LIfNK+KHUTFNwe89uyZ2EbZRsNInQl3ARQwGOmXLuSiH7AhIX7qDBR3GOnz9BS1QsxsQ8WHro05ewwGE=&amp;_app_id=central_doc_viewer&amp;center_on_screen=true&amp;width=950&amp;height=800&amp;_dd2=%26f%3Dsld%26c%3Dtrue%26os%3D71309%26oe%3D71310" TargetMode="External"/><Relationship Id="rId298" Type="http://schemas.openxmlformats.org/officeDocument/2006/relationships/hyperlink" Target="fdsup://factset/Doc%20Viewer%20Single?float_window=true&amp;positioning_strategy=center_on_screen&amp;_doc_docfn=U2FsdGVkX19APkmKHAANBbNDSwQn4dUSVqXvPVVkYX1dUdQ/z96eVR1zt5rh31bHxx2+vqj8A1ftndqvRxo6Rh6YzM1gxabRiGeK8ZVNKAs=&amp;_app_id=central_doc_viewer&amp;center_on_screen=true&amp;width=950&amp;height=800&amp;_dd2=%26f%3Dsld%26c%3Dtrue%26os%3D68026%26oe%3D68027" TargetMode="External"/><Relationship Id="rId116" Type="http://schemas.openxmlformats.org/officeDocument/2006/relationships/hyperlink" Target="fdsup://factset/Doc%20Viewer%20Single?float_window=true&amp;positioning_strategy=center_on_screen&amp;_doc_docfn=U2FsdGVkX1+kiF+yb7O6PB7pMjXax0WRArN1nYUqy4fJInjAA/lOb5SK4OlmSCppBBfQpaxoT/H5PLrR6jnxkTWAy12rZ7oQLl881S20+3o=&amp;_app_id=central_doc_viewer&amp;center_on_screen=true&amp;width=950&amp;height=800&amp;_dd2=%26f%3Dsld%26c%3Dtrue%26os%3D65425%26oe%3D65434" TargetMode="External"/><Relationship Id="rId137" Type="http://schemas.openxmlformats.org/officeDocument/2006/relationships/hyperlink" Target="fdsup://factset/Doc%20Viewer%20Single?float_window=true&amp;positioning_strategy=center_on_screen&amp;_doc_docfn=U2FsdGVkX1+pGikcCwcwgMjqtCSeBu4RMp/9tiUhK4xfPolPy7YE/nXhaKRzPLLmgP++hUDZVlVZJP/PWKLM6FVlUFtWOe1yn48cikeFvAs=&amp;_app_id=central_doc_viewer&amp;center_on_screen=true&amp;width=950&amp;height=800&amp;_dd2=%26f%3Dsld%26c%3Dtrue%26os%3D61065%26oe%3D61071" TargetMode="External"/><Relationship Id="rId158" Type="http://schemas.openxmlformats.org/officeDocument/2006/relationships/hyperlink" Target="fdsup://factset/Doc%20Viewer%20Single?float_window=true&amp;positioning_strategy=center_on_screen&amp;_doc_docfn=U2FsdGVkX1+K4gPg+tk6U0s4mCKVIohNvQZrKCkVP7QaS0oqGgHMk5BkD8996hyr1sD+1rqddrbl+L0sbiex9kr0TWyke5pJ32SICraVzAA=&amp;_app_id=central_doc_viewer&amp;center_on_screen=true&amp;width=950&amp;height=800&amp;_dd2=%26f%3Dsld%26c%3Dtrue%26os%3D62499%26oe%3D62502" TargetMode="External"/><Relationship Id="rId302" Type="http://schemas.openxmlformats.org/officeDocument/2006/relationships/hyperlink" Target="fdsup://factset/Doc%20Viewer%20Single?float_window=true&amp;positioning_strategy=center_on_screen&amp;_doc_docfn=U2FsdGVkX1/KTM7igqevQcTXCRgxx9ZGr9/obq7HZeDSAOy9PeTjld3n0JrxiOQGwCS+WeTqg4AgzVYl5OA9SiOb81SECe4E6JXGdyXGIEI=&amp;_app_id=central_doc_viewer&amp;center_on_screen=true&amp;width=950&amp;height=800&amp;_dd2=%26f%3Dsld%26c%3Dtrue%26os%3D1387244%26oe%3D1387250" TargetMode="External"/><Relationship Id="rId323" Type="http://schemas.openxmlformats.org/officeDocument/2006/relationships/hyperlink" Target="fdsup://factset/Doc%20Viewer%20Single?float_window=true&amp;positioning_strategy=center_on_screen&amp;_doc_docfn=U2FsdGVkX1+ZqfTPGpEU/Ar+xHcGwSM0W2yUK+3t8CIJRHy+UjaimoNOl8C10fx5M5Q9d7XnNohg1RIA4yGs++qqTjxvto9RlJCOeOngoLk=&amp;_app_id=central_doc_viewer&amp;center_on_screen=true&amp;width=950&amp;height=800&amp;_dd2=%26f%3Dsld%26c%3Dtrue%26os%3D64490%26oe%3D64496" TargetMode="External"/><Relationship Id="rId20" Type="http://schemas.openxmlformats.org/officeDocument/2006/relationships/hyperlink" Target="fdsup://factset/Doc%20Viewer%20Single?float_window=true&amp;positioning_strategy=center_on_screen&amp;_doc_docfn=U2FsdGVkX1/RhwmS9W9YfXp3z8lQM58g6XN9vBSdBXmE9iMB0z3FuIHxHUAtQtW/MEMl9/OA+eM+v6Oiosvlfp9XVGPSjm1PB1Jp1GfJJAo=&amp;_app_id=central_doc_viewer&amp;center_on_screen=true&amp;width=950&amp;height=800&amp;_dd2=%26f%3Dsld%26c%3Dtrue%26os%3D118063%26oe%3D118070" TargetMode="External"/><Relationship Id="rId41" Type="http://schemas.openxmlformats.org/officeDocument/2006/relationships/hyperlink" Target="fdsup://factset/Doc%20Viewer%20Single?float_window=true&amp;positioning_strategy=center_on_screen&amp;_doc_docfn=U2FsdGVkX1/YMThf2h9Ia1nO7sQdo2blEw8t9tyVoAc3UwWt0igB+e8lHdKGeJYvzarGYoe4fG4GdfpiBROAwCuUUTfq+xdRAZtPNaKoJsU=&amp;_app_id=central_doc_viewer&amp;center_on_screen=true&amp;width=950&amp;height=800&amp;_dd2=%26f%3Dsld%26c%3Dtrue%26os%3D1399152%26oe%3D1399158" TargetMode="External"/><Relationship Id="rId62" Type="http://schemas.openxmlformats.org/officeDocument/2006/relationships/hyperlink" Target="fdsup://factset/Doc%20Viewer%20Single?float_window=true&amp;positioning_strategy=center_on_screen&amp;_doc_docfn=U2FsdGVkX181/hldylS7gGb0ksn1jlt//pX14gbIbZoRZiQmnG4lO2j2q00QBncF8xF5BqTAJ7w0Ai26gKH3LJxrQvaFAKUO36CAnnRmg+s=&amp;_app_id=central_doc_viewer&amp;center_on_screen=true&amp;width=950&amp;height=800&amp;_dd2=%26f%3Dsld%26c%3Dtrue%26os%3D123392%26oe%3D123399" TargetMode="External"/><Relationship Id="rId83" Type="http://schemas.openxmlformats.org/officeDocument/2006/relationships/hyperlink" Target="fdsup://factset/Doc%20Viewer%20Single?float_window=true&amp;positioning_strategy=center_on_screen&amp;_doc_docfn=U2FsdGVkX19AranusuIGhmUXCBf45Oi/aH0u90CwwNIQu6jh6esnKvQ0RF1JLXxaTG+mR8ge0c+e5cd8ReC2OTKCDxapUH9XpZ3WHXJ1w6M=&amp;_app_id=central_doc_viewer&amp;center_on_screen=true&amp;width=950&amp;height=800&amp;_dd2=%26f%3Dsld%26c%3Dtrue%26os%3D126002%26oe%3D126009" TargetMode="External"/><Relationship Id="rId179" Type="http://schemas.openxmlformats.org/officeDocument/2006/relationships/hyperlink" Target="fdsup://factset/Doc%20Viewer%20Single?float_window=true&amp;positioning_strategy=center_on_screen&amp;_doc_docfn=U2FsdGVkX18/tRDJ2KFUt7qcNR/5VHnXlk+Re2UfWQhx7jbmIJxwQ1lCwBlkAdiIQZKMBq1NQN5fFcrra+/AnMCtmi8UrWIJyS5vmBHIKOg=&amp;_app_id=central_doc_viewer&amp;center_on_screen=true&amp;width=950&amp;height=800&amp;_dd2=%26f%3Dsld%26c%3Dtrue%26os%3D1529426%26oe%3D1529433" TargetMode="External"/><Relationship Id="rId190" Type="http://schemas.openxmlformats.org/officeDocument/2006/relationships/hyperlink" Target="fdsup://factset/Doc%20Viewer%20Single?float_window=true&amp;positioning_strategy=center_on_screen&amp;_doc_docfn=U2FsdGVkX18zr7C3y3tH+vz2vhijhiTcQvLeDiuMbuhjCmK+A/SEhLpZmk1NgnEDLJW0FaEjRDIh14PhHkFcuLrlsbnyfoG05oCt0IayON0=&amp;_app_id=central_doc_viewer&amp;center_on_screen=true&amp;width=950&amp;height=800&amp;_dd2=%26f%3Dsld%26c%3Dtrue%26os%3D72463%26oe%3D72472" TargetMode="External"/><Relationship Id="rId204" Type="http://schemas.openxmlformats.org/officeDocument/2006/relationships/hyperlink" Target="fdsup://factset/Doc%20Viewer%20Single?float_window=true&amp;positioning_strategy=center_on_screen&amp;_doc_docfn=U2FsdGVkX1+q3L6DpG4hn8EXDDesIyom6MjPHZbbZwLaZxzrYmzn1V081zdFWpATWLzneNgxmmW0QTUkqsio+UyHfap6e/zb7aFYBfR3JjQ=&amp;_app_id=central_doc_viewer&amp;center_on_screen=true&amp;width=950&amp;height=800&amp;_dd2=%26f%3Dsld%26c%3Dtrue%26os%3D66174%26oe%3D66181" TargetMode="External"/><Relationship Id="rId225" Type="http://schemas.openxmlformats.org/officeDocument/2006/relationships/hyperlink" Target="fdsup://factset/Doc%20Viewer%20Single?float_window=true&amp;positioning_strategy=center_on_screen&amp;_doc_docfn=U2FsdGVkX18tsnzb/hrC55dYHFbQE35vbOIaNSGwc1P5VcubcI88gK03hcC/kZQ+G19V6UexjC8aHQrzxqSQUV06/8rFLs/aDNOgB74uLeU=&amp;_app_id=central_doc_viewer&amp;center_on_screen=true&amp;width=950&amp;height=800&amp;_dd2=%26f%3Dsld%26c%3Dtrue%26os%3D62971%26oe%3D62976" TargetMode="External"/><Relationship Id="rId246" Type="http://schemas.openxmlformats.org/officeDocument/2006/relationships/hyperlink" Target="fdsup://factset/Doc%20Viewer%20Single?float_window=true&amp;positioning_strategy=center_on_screen&amp;_doc_docfn=U2FsdGVkX196fBl98TDVKh7uwYLLgVjCKFp745OrK0V/V53MzpVPX9xM+/dzBfls41ocCiLUYfzPf8ZxVmvNBlcrIO12vnZbJmsLJiQT7K4=&amp;_app_id=central_doc_viewer&amp;center_on_screen=true&amp;width=950&amp;height=800&amp;_dd2=%26f%3Dsld%26c%3Dtrue%26os%3D63861%26oe%3D63867" TargetMode="External"/><Relationship Id="rId267" Type="http://schemas.openxmlformats.org/officeDocument/2006/relationships/hyperlink" Target="fdsup://factset/Doc%20Viewer%20Single?float_window=true&amp;positioning_strategy=center_on_screen&amp;_doc_docfn=U2FsdGVkX18MMjTP0O+qhpaASMxvLiJb35SD0zSBH6TN50qQAttPm7LQEIuJcGSGI5/qKcT6MqFeD81rv0zvMetUZ3YdCm6CoV5273XLYI8=&amp;_app_id=central_doc_viewer&amp;center_on_screen=true&amp;width=950&amp;height=800&amp;_dd2=%26f%3Dsld%26c%3Dtrue%26os%3D72135%26oe%3D72144" TargetMode="External"/><Relationship Id="rId288" Type="http://schemas.openxmlformats.org/officeDocument/2006/relationships/hyperlink" Target="fdsup://factset/Doc%20Viewer%20Single?float_window=true&amp;positioning_strategy=center_on_screen&amp;_doc_docfn=U2FsdGVkX1/quoymc6PfOJgIh+yj17mf3QYDKlOI7a+lVBqTCmgMvAA+I3X2knGuCbfs1vuGqIjjLvXXTZf+HhYBBol41gpYK/OrgeHvPwA=&amp;_app_id=central_doc_viewer&amp;center_on_screen=true&amp;width=950&amp;height=800&amp;_dd2=%26f%3Dsld%26c%3Dtrue%26os%3D67536%26oe%3D67545" TargetMode="External"/><Relationship Id="rId106" Type="http://schemas.openxmlformats.org/officeDocument/2006/relationships/hyperlink" Target="fdsup://factset/Doc%20Viewer%20Single?float_window=true&amp;positioning_strategy=center_on_screen&amp;_doc_docfn=U2FsdGVkX1+ygchRTPpXM+T7+q9rN9MSLav1gDf/X/71b46ZyYpHbjJ6bpq/9mEZAFZcrbRtBtJOiRe0vyo0tmcNleOeu5UDpmNL1mNKjj8=&amp;_app_id=central_doc_viewer&amp;center_on_screen=true&amp;width=950&amp;height=800&amp;_dd2=%26f%3Dsld%26c%3Dtrue%26os%3D135422%26oe%3D135428" TargetMode="External"/><Relationship Id="rId127" Type="http://schemas.openxmlformats.org/officeDocument/2006/relationships/hyperlink" Target="fdsup://factset/Doc%20Viewer%20Single?float_window=true&amp;positioning_strategy=center_on_screen&amp;_doc_docfn=U2FsdGVkX19jRJI07r4CTiLKC0exvcG0lIndx4dcPot26nMF31ep5Q8pkDcyAdXAv75ITi2yCrrBqD5vF+MxAp4fgMftP5swFtSHnTO9XDE=&amp;_app_id=central_doc_viewer&amp;center_on_screen=true&amp;width=950&amp;height=800&amp;_dd2=%26f%3Dsld%26c%3Dtrue%26os%3D58971%26oe%3D58980" TargetMode="External"/><Relationship Id="rId313" Type="http://schemas.openxmlformats.org/officeDocument/2006/relationships/hyperlink" Target="fdsup://factset/Doc%20Viewer%20Single?float_window=true&amp;positioning_strategy=center_on_screen&amp;_doc_docfn=U2FsdGVkX1/9tgDVNSDEhsFIpghd4OApqHFBDjEcKR90P8AQxM2Vq/Psij7E74vudal7Gxd6vieWm2EdC2CCttukXdsirayvsytkl7BSO+8=&amp;_app_id=central_doc_viewer&amp;center_on_screen=true&amp;width=950&amp;height=800&amp;_dd2=%26f%3Dsld%26c%3Dtrue%26os%3D70724%26oe%3D70733" TargetMode="External"/><Relationship Id="rId10" Type="http://schemas.openxmlformats.org/officeDocument/2006/relationships/hyperlink" Target="fdsup://factset/Doc%20Viewer%20Single?float_window=true&amp;positioning_strategy=center_on_screen&amp;_doc_docfn=U2FsdGVkX18jIA7Mo2rfE/J7K5qM9mdX3c4orxMy+7cbNUxx3ovy2fyOi/k/HikHstl89tIlC+LAalfA1Yk5+co9eVcrfDciHAkluIUTBCY=&amp;_app_id=central_doc_viewer&amp;center_on_screen=true&amp;width=950&amp;height=800&amp;_dd2=%26f%3Dsld%26c%3Dtrue%26os%3D122575%26oe%3D122582" TargetMode="External"/><Relationship Id="rId31" Type="http://schemas.openxmlformats.org/officeDocument/2006/relationships/hyperlink" Target="fdsup://factset/Doc%20Viewer%20Single?float_window=true&amp;positioning_strategy=center_on_screen&amp;_doc_docfn=U2FsdGVkX18Ijv8XCHrY8gMDW7yV35TlYVmUbNLrnawZtxUWxmxh8JxsNTonq8bDVS0HjhoHYmgePVx3Ap2WnKP/T7TTXzK/C33SIBqwiXo=&amp;_app_id=central_doc_viewer&amp;center_on_screen=true&amp;width=950&amp;height=800&amp;_dd2=%26f%3Dsld%26c%3Dtrue%26os%3D1397218%26oe%3D1397226" TargetMode="External"/><Relationship Id="rId52" Type="http://schemas.openxmlformats.org/officeDocument/2006/relationships/hyperlink" Target="fdsup://factset/Doc%20Viewer%20Single?float_window=true&amp;positioning_strategy=center_on_screen&amp;_doc_docfn=U2FsdGVkX1812QPwDs4ZILetVd7Ku3IGNZhfXT54WhY1UkU0sH3B9L1ISoxva3VzwsFFNAwmq/silKtDtlQXLH0S9hOEmE8hAkRy0rF0WII=&amp;_app_id=central_doc_viewer&amp;center_on_screen=true&amp;width=950&amp;height=800&amp;_dd2=%26f%3Dsld%26c%3Dtrue%26os%3D126170%26oe%3D126177" TargetMode="External"/><Relationship Id="rId73" Type="http://schemas.openxmlformats.org/officeDocument/2006/relationships/hyperlink" Target="fdsup://factset/Doc%20Viewer%20Single?float_window=true&amp;positioning_strategy=center_on_screen&amp;_doc_docfn=U2FsdGVkX1+yCGDJDgBrZ+rZSHr3mAV8562JUt16KyKygUrw9iNbYuHCD3/FX8Vn+GWoD0AvsXS+eFRjvH5sFEQj2d5zff+gHVH0czouZSc=&amp;_app_id=central_doc_viewer&amp;center_on_screen=true&amp;width=950&amp;height=800&amp;_dd2=%26f%3Dsld%26c%3Dtrue%26os%3D1402857%26oe%3D1402864" TargetMode="External"/><Relationship Id="rId94" Type="http://schemas.openxmlformats.org/officeDocument/2006/relationships/hyperlink" Target="fdsup://factset/Doc%20Viewer%20Single?float_window=true&amp;positioning_strategy=center_on_screen&amp;_doc_docfn=U2FsdGVkX1+wD8UpKiTa11ZwS7kq9JxaT7pM0Bk9S+Q6V6xA5Nn+xojBfjgpdDORbL1Ku7JxEs+dBU++6F2OGZJYQllKsXuF71ry/52QSQw=&amp;_app_id=central_doc_viewer&amp;center_on_screen=true&amp;width=950&amp;height=800&amp;_dd2=%26f%3Dsld%26c%3Dtrue%26os%3D169229%26oe%3D169237" TargetMode="External"/><Relationship Id="rId148" Type="http://schemas.openxmlformats.org/officeDocument/2006/relationships/hyperlink" Target="fdsup://factset/Doc%20Viewer%20Single?float_window=true&amp;positioning_strategy=center_on_screen&amp;_doc_docfn=U2FsdGVkX1/HCsZSGD6MmhGP7EpEJpQUlRGMPYHqXlmp44yHm8fJArOcndAVsvpOTwVDvnfZylBieZD2eoJcw/NTeRc2pZ56fwJvDbj2Lp8=&amp;_app_id=central_doc_viewer&amp;center_on_screen=true&amp;width=950&amp;height=800&amp;_dd2=%26f%3Dsld%26c%3Dtrue%26os%3D60209%26oe%3D60214" TargetMode="External"/><Relationship Id="rId169" Type="http://schemas.openxmlformats.org/officeDocument/2006/relationships/hyperlink" Target="fdsup://factset/Doc%20Viewer%20Single?float_window=true&amp;positioning_strategy=center_on_screen&amp;_doc_docfn=U2FsdGVkX19dexJ+NjSiMKxN4z3Z64f3zV9j2v5+4kx0tMX24vWPCdxuWmXbwJXdy8xt04PPhKUjio5cdBvHclz1RkkhjQCgFN8PwNHsD1o=&amp;_app_id=central_doc_viewer&amp;center_on_screen=true&amp;width=950&amp;height=800&amp;_dd2=%26f%3Dsld%26c%3Dtrue%26os%3D59880%26oe%3D59887" TargetMode="External"/><Relationship Id="rId334" Type="http://schemas.openxmlformats.org/officeDocument/2006/relationships/hyperlink" Target="fdsup://factset/Doc%20Viewer%20Single?float_window=true&amp;positioning_strategy=center_on_screen&amp;_doc_docfn=U2FsdGVkX1+NZ2XThAqEOB8I9ZohJFexP9crbQGJIctgBXs4X5y5II4bUkg0Fr11Kbg3XGohsl07j6d5mqxqu6SoYkKhXcU5E5a5OMcumG4=&amp;_app_id=central_doc_viewer&amp;center_on_screen=true&amp;width=950&amp;height=800&amp;_dd2=%26f%3Dsld%26c%3Dtrue%26os%3D59457%26oe%3D59462" TargetMode="External"/><Relationship Id="rId4" Type="http://schemas.openxmlformats.org/officeDocument/2006/relationships/hyperlink" Target="fdsup://factset/Doc%20Viewer%20Single?float_window=true&amp;positioning_strategy=center_on_screen&amp;_doc_docfn=U2FsdGVkX1/ghY7+184Yk4uyOCSZ9JFAEjbzkcYeaspdaOImEzhpaqcz7/PAKyIBleTN+DufzQ5kd67iYDennKDRp3gQ6GKYc2YYIOyi3/M=&amp;_app_id=central_doc_viewer&amp;center_on_screen=true&amp;width=950&amp;height=800&amp;_dd2=%26f%3Dsld%26c%3Dtrue%26os%3D116661%26oe%3D116670" TargetMode="External"/><Relationship Id="rId180" Type="http://schemas.openxmlformats.org/officeDocument/2006/relationships/hyperlink" Target="fdsup://factset/Doc%20Viewer%20Single?float_window=true&amp;positioning_strategy=center_on_screen&amp;_doc_docfn=U2FsdGVkX183Wap/IPn9zO+yuectrla1Unbld9W4dKXdZQnjleeUJMC7VQpLdhO5cjMwioHetZ+/1B+zQZjz0atRHq74TCBTL8Lm4Rbo4fk=&amp;_app_id=central_doc_viewer&amp;center_on_screen=true&amp;width=950&amp;height=800&amp;_dd2=%26f%3Dsld%26c%3Dtrue%26os%3D1373275%26oe%3D1373282" TargetMode="External"/><Relationship Id="rId215" Type="http://schemas.openxmlformats.org/officeDocument/2006/relationships/hyperlink" Target="fdsup://factset/Doc%20Viewer%20Single?float_window=true&amp;positioning_strategy=center_on_screen&amp;_doc_docfn=U2FsdGVkX1/BK08Q+T9rIkmsn9e3yjuHyJsppZyeOz9v89getjhLtcIY200YAO3MJWc+ZZyOlEZA62k/c5J5dgqeHR998rzs2BiHYTzcvck=&amp;_app_id=central_doc_viewer&amp;center_on_screen=true&amp;width=950&amp;height=800&amp;_dd2=%26f%3Dsld%26c%3Dtrue%26os%3D66173%26oe%3D66179" TargetMode="External"/><Relationship Id="rId236" Type="http://schemas.openxmlformats.org/officeDocument/2006/relationships/hyperlink" Target="fdsup://factset/Doc%20Viewer%20Single?float_window=true&amp;positioning_strategy=center_on_screen&amp;_doc_docfn=U2FsdGVkX1+9tgHF+2o+TIJpJ8j0SSxiyu0Lo2g/5Xs99nyfpqcRkbS5c47SVOTu+NFu+Q6jvU30aqxSlqYglFxhLZYS7bP6jlx6+tNbebI=&amp;_app_id=central_doc_viewer&amp;center_on_screen=true&amp;width=950&amp;height=800&amp;_dd2=%26f%3Dsld%26c%3Dtrue%26os%3D65681%26oe%3D65687" TargetMode="External"/><Relationship Id="rId257" Type="http://schemas.openxmlformats.org/officeDocument/2006/relationships/hyperlink" Target="fdsup://factset/Doc%20Viewer%20Single?float_window=true&amp;positioning_strategy=center_on_screen&amp;_doc_docfn=U2FsdGVkX1/GVrVEoBCP4rcxp19CefI/MGf2y6JPAdTCc6CQhKwb76lr+IIAeK01OgOHXzpmY88ZOTOeHFvsg33dQeLBbLu6YFIWHonPYFg=&amp;_app_id=central_doc_viewer&amp;center_on_screen=true&amp;width=950&amp;height=800&amp;_dd2=%26f%3Dsld%26c%3Dtrue%26os%3D67652%26oe%3D67659" TargetMode="External"/><Relationship Id="rId278" Type="http://schemas.openxmlformats.org/officeDocument/2006/relationships/hyperlink" Target="fdsup://factset/Doc%20Viewer%20Single?float_window=true&amp;positioning_strategy=center_on_screen&amp;_doc_docfn=U2FsdGVkX19j/dKFegBpfZKJ6m+H4ctwBo1WG6TIeq/5+YYC/oM8hHN25GrBWRjlTNYHthyxNtaoermxc1XIF2PYfrKR8tagwPg9o+FCz30=&amp;_app_id=central_doc_viewer&amp;center_on_screen=true&amp;width=950&amp;height=800&amp;_dd2=%26f%3Dsld%26c%3Dtrue%26os%3D69830%26oe%3D69839" TargetMode="External"/><Relationship Id="rId303" Type="http://schemas.openxmlformats.org/officeDocument/2006/relationships/hyperlink" Target="fdsup://factset/Doc%20Viewer%20Single?float_window=true&amp;positioning_strategy=center_on_screen&amp;_doc_docfn=U2FsdGVkX18wpBn+XHJDwWUjUspxulS/yraQ8WlAlugBd1swWz4eMCnUYN+3nraSd8owdEt78zV8ozdPIs1SxPPa69E3o19QTpJ8NsedxVY=&amp;_app_id=central_doc_viewer&amp;center_on_screen=true&amp;width=950&amp;height=800&amp;_dd2=%26f%3Dsld%26c%3Dtrue%26os%3D73423%26oe%3D73426" TargetMode="External"/><Relationship Id="rId42" Type="http://schemas.openxmlformats.org/officeDocument/2006/relationships/hyperlink" Target="fdsup://factset/Doc%20Viewer%20Single?float_window=true&amp;positioning_strategy=center_on_screen&amp;_doc_docfn=U2FsdGVkX19P0a7wAzsAZVTmcWDsEQfHYRhyXSorrbQC0dxBj3RFTocp+1daRxWBz+Z4WUPI6bcrgl+cQ8v0HL+u6eTsw6w4wL+oZKz3M08=&amp;_app_id=central_doc_viewer&amp;center_on_screen=true&amp;width=950&amp;height=800&amp;_dd2=%26f%3Dsld%26c%3Dtrue%26os%3D125051%26oe%3D125056" TargetMode="External"/><Relationship Id="rId84" Type="http://schemas.openxmlformats.org/officeDocument/2006/relationships/hyperlink" Target="fdsup://factset/Doc%20Viewer%20Single?float_window=true&amp;positioning_strategy=center_on_screen&amp;_doc_docfn=U2FsdGVkX19ZXA8bnR8o056SzLTnl9+/q++imj1B+gcevl6OeUGKq5rz7wb5g6V4we7QOJGWnhSdY2V+Q94MQORb+cUISXPqVOBdYcp91gA=&amp;_app_id=central_doc_viewer&amp;center_on_screen=true&amp;width=950&amp;height=800&amp;_dd2=%26f%3Dsld%26c%3Dtrue%26os%3D124351%26oe%3D124360" TargetMode="External"/><Relationship Id="rId138" Type="http://schemas.openxmlformats.org/officeDocument/2006/relationships/hyperlink" Target="fdsup://factset/Doc%20Viewer%20Single?float_window=true&amp;positioning_strategy=center_on_screen&amp;_doc_docfn=U2FsdGVkX19gtSf+59lAgEVkl5zQycfqbG7ZD6i9zHAHoXDGrOa3gDjxDrICpQewaw6N+7fpAsAcJgiUA4Wz98xEd6g0ZKFDFd4mFYC1DoY=&amp;_app_id=central_doc_viewer&amp;center_on_screen=true&amp;width=950&amp;height=800&amp;_dd2=%26f%3Dsld%26c%3Dtrue%26os%3D1524556%26oe%3D1524562" TargetMode="External"/><Relationship Id="rId191" Type="http://schemas.openxmlformats.org/officeDocument/2006/relationships/hyperlink" Target="fdsup://factset/Doc%20Viewer%20Single?float_window=true&amp;positioning_strategy=center_on_screen&amp;_doc_docfn=U2FsdGVkX18/4ntrudfOCOy4P3crKTjWUGD5i14bcEkQ1klzvbLEIpf/uV3JDF81UQRFhQuev5FYG8FW6jM8hoMBjynVbvVPJ79hPKa7fIQ=&amp;_app_id=central_doc_viewer&amp;center_on_screen=true&amp;width=950&amp;height=800&amp;_dd2=%26f%3Dsld%26c%3Dtrue%26os%3D72663%26oe%3D72672" TargetMode="External"/><Relationship Id="rId205" Type="http://schemas.openxmlformats.org/officeDocument/2006/relationships/hyperlink" Target="fdsup://factset/Doc%20Viewer%20Single?float_window=true&amp;positioning_strategy=center_on_screen&amp;_doc_docfn=U2FsdGVkX1+mHdsGoT5zFf10oE1fPQViyq3IsmH2Z36v/hwN/jMKjVVzL+RTxFOoZsltmfonX7+qMnlfnUowGk99nc4Jiw1U+w4mYe0ZFpY=&amp;_app_id=central_doc_viewer&amp;center_on_screen=true&amp;width=950&amp;height=800&amp;_dd2=%26f%3Dsld%26c%3Dtrue%26os%3D66357%26oe%3D66364" TargetMode="External"/><Relationship Id="rId247" Type="http://schemas.openxmlformats.org/officeDocument/2006/relationships/hyperlink" Target="fdsup://factset/Doc%20Viewer%20Single?float_window=true&amp;positioning_strategy=center_on_screen&amp;_doc_docfn=U2FsdGVkX19i3szaKFr8ojTiAZR4G0Sy/CDZWUZOiXWF0F4cWAWvRU078l/ipTow2E+T5usMgRb9lJp58vMLev5D+ukHS6Il8FNNgDeuysE=&amp;_app_id=central_doc_viewer&amp;center_on_screen=true&amp;width=950&amp;height=800&amp;_dd2=%26f%3Dsld%26c%3Dtrue%26os%3D68681%26oe%3D68687" TargetMode="External"/><Relationship Id="rId107" Type="http://schemas.openxmlformats.org/officeDocument/2006/relationships/hyperlink" Target="fdsup://factset/Doc%20Viewer%20Single?float_window=true&amp;positioning_strategy=center_on_screen&amp;_doc_docfn=U2FsdGVkX1/otmQu4PobA7oxFnJ1aGlBfN+G0St0Ejlo6Vvh84Il/e74jQlTHSpVn2QlDAWtm0rIoNvlKtDe9esf66aH+VIu/ofbmZxgSg4=&amp;_app_id=central_doc_viewer&amp;center_on_screen=true&amp;width=950&amp;height=800&amp;_dd2=%26f%3Dsld%26c%3Dtrue%26os%3D131681%26oe%3D131687" TargetMode="External"/><Relationship Id="rId289" Type="http://schemas.openxmlformats.org/officeDocument/2006/relationships/hyperlink" Target="fdsup://factset/Doc%20Viewer%20Single?float_window=true&amp;positioning_strategy=center_on_screen&amp;_doc_docfn=U2FsdGVkX19WXgqdxfYGl+/PbaRSNJn1xLYvQAajCKEc4c9EsBQ42IpE/A/a1eUuOH3yAAE9kYiuvrSajwhf6o+Pk6SwciOUyuekapMgWow=&amp;_app_id=central_doc_viewer&amp;center_on_screen=true&amp;width=950&amp;height=800&amp;_dd2=%26f%3Dsld%26c%3Dtrue%26os%3D72354%26oe%3D72363" TargetMode="External"/><Relationship Id="rId11" Type="http://schemas.openxmlformats.org/officeDocument/2006/relationships/hyperlink" Target="fdsup://factset/Doc%20Viewer%20Single?float_window=true&amp;positioning_strategy=center_on_screen&amp;_doc_docfn=U2FsdGVkX1+Z1mxRfCxa2GyphX/DZb8Spxc76voxgnEZm1/Rg8jrzJTFnFi6ztk2dBohdozTN8JbrGTFRue+sGLEC5JFU+Q+567MbvOXicw=&amp;_app_id=central_doc_viewer&amp;center_on_screen=true&amp;width=950&amp;height=800&amp;_dd2=%26f%3Dsld%26c%3Dtrue%26os%3D119771%26oe%3D119778" TargetMode="External"/><Relationship Id="rId53" Type="http://schemas.openxmlformats.org/officeDocument/2006/relationships/hyperlink" Target="fdsup://factset/Doc%20Viewer%20Single?float_window=true&amp;positioning_strategy=center_on_screen&amp;_doc_docfn=U2FsdGVkX1+HVt3PfWCQD585ueu1zPawrm8iQxfc27PFk4Wzc1IvatNxZtxGB34gGkzMkVHQ45VlXvL4gTXKjzsH/J7mmsbCefW3+46NLXg=&amp;_app_id=central_doc_viewer&amp;center_on_screen=true&amp;width=950&amp;height=800&amp;_dd2=%26f%3Dsld%26c%3Dtrue%26os%3D123345%26oe%3D123352" TargetMode="External"/><Relationship Id="rId149" Type="http://schemas.openxmlformats.org/officeDocument/2006/relationships/hyperlink" Target="fdsup://factset/Doc%20Viewer%20Single?float_window=true&amp;positioning_strategy=center_on_screen&amp;_doc_docfn=U2FsdGVkX18mrhxsQfxZBQOipLIUQP9wch2qmxhEAd4fXhMijSKBlRWsVWQJx/XPngFecatxduTIb6I7+kGSSKxVC5CxMNSwgA7JjDMXN14=&amp;_app_id=central_doc_viewer&amp;center_on_screen=true&amp;width=950&amp;height=800&amp;_dd2=%26f%3Dsld%26c%3Dtrue%26os%3D60392%26oe%3D60398" TargetMode="External"/><Relationship Id="rId314" Type="http://schemas.openxmlformats.org/officeDocument/2006/relationships/hyperlink" Target="fdsup://factset/Doc%20Viewer%20Single?float_window=true&amp;positioning_strategy=center_on_screen&amp;_doc_docfn=U2FsdGVkX1+5IJ8IKOk3NIpeHdNSTjGd8z1RY2AdYr10O2Y9nlGUBoOfSjwZaVipaYbN5+kJcPZaOOXvksLZVYegEX19IMSGrZKhMxc29vU=&amp;_app_id=central_doc_viewer&amp;center_on_screen=true&amp;width=950&amp;height=800&amp;_dd2=%26f%3Dsld%26c%3Dtrue%26os%3D70210%26oe%3D70217" TargetMode="External"/><Relationship Id="rId95" Type="http://schemas.openxmlformats.org/officeDocument/2006/relationships/hyperlink" Target="fdsup://factset/Doc%20Viewer%20Single?float_window=true&amp;positioning_strategy=center_on_screen&amp;_doc_docfn=U2FsdGVkX1/Ixsfzsk2P+vmIz48Z24yQT9m9ViCKiun2Vn+q68Ma45oYyehOSDlXm0bZHXdUC10yc7E7aPr/0s/6s+aIPjdQk2CcNjlrryA=&amp;_app_id=central_doc_viewer&amp;center_on_screen=true&amp;width=950&amp;height=800&amp;_dd2=%26f%3Dsld%26c%3Dtrue%26os%3D1405996%26oe%3D1406002" TargetMode="External"/><Relationship Id="rId160" Type="http://schemas.openxmlformats.org/officeDocument/2006/relationships/hyperlink" Target="fdsup://factset/Doc%20Viewer%20Single?float_window=true&amp;positioning_strategy=center_on_screen&amp;_doc_docfn=U2FsdGVkX18K/DEgWErmKM5gO4gWIdbjG/zwcyM/b6V/mrOPNAYtjHXfKYrJk0Xtj5GixJ93TRy/FuCVivuuadaSJPhW7okxZxEV5/6oHaA=&amp;_app_id=central_doc_viewer&amp;center_on_screen=true&amp;width=950&amp;height=800&amp;_dd2=%26f%3Dsld%26c%3Dtrue%26os%3D61632%26oe%3D61639" TargetMode="External"/><Relationship Id="rId216" Type="http://schemas.openxmlformats.org/officeDocument/2006/relationships/hyperlink" Target="fdsup://factset/Doc%20Viewer%20Single?float_window=true&amp;positioning_strategy=center_on_screen&amp;_doc_docfn=U2FsdGVkX18qhGaUyZ3m+7HuujrGFc5HvE0VQQMWjCWxXszOInlduCuCi9H2MK8KWo4lHdOfl1B9QV9uQBd6tL18aIdd63K4XC+7Ij1dJkI=&amp;_app_id=central_doc_viewer&amp;center_on_screen=true&amp;width=950&amp;height=800&amp;_dd2=%26f%3Dsld%26c%3Dtrue%26os%3D1534209%26oe%3D1534215" TargetMode="External"/><Relationship Id="rId258" Type="http://schemas.openxmlformats.org/officeDocument/2006/relationships/hyperlink" Target="fdsup://factset/Doc%20Viewer%20Single?float_window=true&amp;positioning_strategy=center_on_screen&amp;_doc_docfn=U2FsdGVkX1+5L0mneM/cFs6Nqn3UtisawIEDTEF8xdHxUGumduk5h8GXX39UVT8P5nGQG0uByjQN0mR6BTEt2VuSdNJmST9TSa4LQ4ElqYQ=&amp;_app_id=central_doc_viewer&amp;center_on_screen=true&amp;width=950&amp;height=800&amp;_dd2=%26f%3Dsld%26c%3Dtrue%26os%3D67843%26oe%3D67850" TargetMode="External"/><Relationship Id="rId22" Type="http://schemas.openxmlformats.org/officeDocument/2006/relationships/hyperlink" Target="fdsup://factset/Doc%20Viewer%20Single?float_window=true&amp;positioning_strategy=center_on_screen&amp;_doc_docfn=U2FsdGVkX1+nJSFB+tY86IGa7HNn2kJgP9iG+k76/YeWljHKIf0FjobSIyIjZqFLU+sqTXaUgZYEh+ZRwlF2v68MWHZW8jrTMEw8DsnhsWs=&amp;_app_id=central_doc_viewer&amp;center_on_screen=true&amp;width=950&amp;height=800&amp;_dd2=%26f%3Dsld%26c%3Dtrue%26os%3D162221%26oe%3D162228" TargetMode="External"/><Relationship Id="rId64" Type="http://schemas.openxmlformats.org/officeDocument/2006/relationships/hyperlink" Target="fdsup://factset/Doc%20Viewer%20Single?float_window=true&amp;positioning_strategy=center_on_screen&amp;_doc_docfn=U2FsdGVkX19iapkr+7B9tKIvFU//krMId/JHGA4+c/VdZhWkDrnZVqPo5+6sVaNYOCi7uJ4eItpOnb6vW1bfln5GpJnU6iR/3O/zPNjpjFI=&amp;_app_id=central_doc_viewer&amp;center_on_screen=true&amp;width=950&amp;height=800&amp;_dd2=%26f%3Dsld%26c%3Dtrue%26os%3D167549%26oe%3D167555" TargetMode="External"/><Relationship Id="rId118" Type="http://schemas.openxmlformats.org/officeDocument/2006/relationships/hyperlink" Target="fdsup://factset/Doc%20Viewer%20Single?float_window=true&amp;positioning_strategy=center_on_screen&amp;_doc_docfn=U2FsdGVkX1/APx7b24/UaEoxpawrNfVefmiDFVCzBEEZG3P+Smh/UqZM3ItQ59+ujpgHP1ph74C4B7Sm2Q251hWmrraNIqb17Efozx2oFJQ=&amp;_app_id=central_doc_viewer&amp;center_on_screen=true&amp;width=950&amp;height=800&amp;_dd2=%26f%3Dsld%26c%3Dtrue%26os%3D1375723%26oe%3D1375732" TargetMode="External"/><Relationship Id="rId325" Type="http://schemas.openxmlformats.org/officeDocument/2006/relationships/hyperlink" Target="fdsup://factset/Doc%20Viewer%20Single?float_window=true&amp;positioning_strategy=center_on_screen&amp;_doc_docfn=U2FsdGVkX18zV3M7K1u30ujnE5GYtNxTZluhryu7evI0qdgEsK5HOw4563Qu5Bjz2Fpogr3iCJLr6g+xp10qlltSV0X2jRr2orj9Nk7iITQ=&amp;_app_id=central_doc_viewer&amp;center_on_screen=true&amp;width=950&amp;height=800&amp;_dd2=%26f%3Dsld%26c%3Dtrue%26os%3D63547%26oe%3D63553" TargetMode="External"/><Relationship Id="rId171" Type="http://schemas.openxmlformats.org/officeDocument/2006/relationships/hyperlink" Target="fdsup://factset/Doc%20Viewer%20Single?float_window=true&amp;positioning_strategy=center_on_screen&amp;_doc_docfn=U2FsdGVkX1/Y2u82kILFvztaUTotvO7CrNBogrVQJJ0LM953CoO0lBkTpfYXV6qaHXk/qnw27lt6CEsA2/FpSmF31y3VQNPLJ5znejuCCDg=&amp;_app_id=central_doc_viewer&amp;center_on_screen=true&amp;width=950&amp;height=800&amp;_dd2=%26f%3Dsld%26c%3Dtrue%26os%3D63955%26oe%3D63962" TargetMode="External"/><Relationship Id="rId227" Type="http://schemas.openxmlformats.org/officeDocument/2006/relationships/hyperlink" Target="fdsup://factset/Doc%20Viewer%20Single?float_window=true&amp;positioning_strategy=center_on_screen&amp;_doc_docfn=U2FsdGVkX1/1AlE9WQWgf/Twgg4DMWcxZoVkPAL8ViTiTO3XoxxQzZAB7kSZPy+oIcRUV0jouKp3E9RGSt03Z4MV30sV5Ifpuh+pr/EYGbI=&amp;_app_id=central_doc_viewer&amp;center_on_screen=true&amp;width=950&amp;height=800&amp;_dd2=%26f%3Dsld%26c%3Dtrue%26os%3D67126%26oe%3D67131" TargetMode="External"/><Relationship Id="rId269" Type="http://schemas.openxmlformats.org/officeDocument/2006/relationships/hyperlink" Target="fdsup://factset/Doc%20Viewer%20Single?float_window=true&amp;positioning_strategy=center_on_screen&amp;_doc_docfn=U2FsdGVkX18/nznLgo4I9LMltDUcb97HOw+A6/l+/bpxrTbvUuA3dDp3PicKPKVDjNtZBowmCP5CQBgjJjaB0J1Imwl6qWk/j2zfRWTC1JU=&amp;_app_id=central_doc_viewer&amp;center_on_screen=true&amp;width=950&amp;height=800&amp;_dd2=%26f%3Dsld%26c%3Dtrue%26os%3D68538%26oe%3D68547" TargetMode="External"/><Relationship Id="rId33" Type="http://schemas.openxmlformats.org/officeDocument/2006/relationships/hyperlink" Target="fdsup://factset/Doc%20Viewer%20Single?float_window=true&amp;positioning_strategy=center_on_screen&amp;_doc_docfn=U2FsdGVkX1/uJN4CMVekU6okrIAJad0IOciJuJrT1EeX7j0NzqRnlFTp8UelUHu94G8ZvqW8xKyOHKYgVZwGkXA7QznarmH7VI7ahLtqH9I=&amp;_app_id=central_doc_viewer&amp;center_on_screen=true&amp;width=950&amp;height=800&amp;_dd2=%26f%3Dsld%26c%3Dtrue%26os%3D1398516%26oe%3D1398523" TargetMode="External"/><Relationship Id="rId129" Type="http://schemas.openxmlformats.org/officeDocument/2006/relationships/hyperlink" Target="fdsup://factset/Doc%20Viewer%20Single?float_window=true&amp;positioning_strategy=center_on_screen&amp;_doc_docfn=U2FsdGVkX19halG7iRXUnr2a9XqEDdBpbuRGz58fYMGTYQLTh11gysJF5ulHpP4Jf3h9FwknBgPW7pBVI5UCxRTNYabxD8jKtIaf81WI7Mo=&amp;_app_id=central_doc_viewer&amp;center_on_screen=true&amp;width=950&amp;height=800&amp;_dd2=%26f%3Dsld%26c%3Dtrue%26os%3D55279%26oe%3D55288" TargetMode="External"/><Relationship Id="rId280" Type="http://schemas.openxmlformats.org/officeDocument/2006/relationships/hyperlink" Target="fdsup://factset/Doc%20Viewer%20Single?float_window=true&amp;positioning_strategy=center_on_screen&amp;_doc_docfn=U2FsdGVkX18cpenK8lSf/HYuNpvUIXI5YFmKaj1GMiRQ92s6my1ocZieo1dJuDeOIYUNM7RJxPMgNB4dTZPCmeRFwa1LGlR4cMo5KqNmsHM=&amp;_app_id=central_doc_viewer&amp;center_on_screen=true&amp;width=950&amp;height=800&amp;_dd2=%26f%3Dsld%26c%3Dtrue%26os%3D68067%26oe%3D68076" TargetMode="External"/><Relationship Id="rId336" Type="http://schemas.openxmlformats.org/officeDocument/2006/relationships/hyperlink" Target="fdsup://factset/Doc%20Viewer%20Single?float_window=true&amp;positioning_strategy=center_on_screen&amp;_doc_docfn=U2FsdGVkX1+SbHFzxsfRetc2JxhtfhccuTqZcMivmWBP4goY50hSaeYWupCFEFbYrhHcjfXyuQzfzU6OKAGyF56Is9BOp8Em/AYNlRM9OQg=&amp;_app_id=central_doc_viewer&amp;center_on_screen=true&amp;width=950&amp;height=800&amp;_dd2=%26f%3Dsld%26c%3Dtrue%26os%3D58521%26oe%3D58527" TargetMode="External"/><Relationship Id="rId75" Type="http://schemas.openxmlformats.org/officeDocument/2006/relationships/hyperlink" Target="fdsup://factset/Doc%20Viewer%20Single?float_window=true&amp;positioning_strategy=center_on_screen&amp;_doc_docfn=U2FsdGVkX19DDBU1kXOK8b8D2Ixfb7JrIG/pr92sM71+9OZf0E7C+7lPCfSvH8Xtji/qKS/b4rNdBa1jsYDqjHEuJBESvh8XgCJPHtPdDz8=&amp;_app_id=central_doc_viewer&amp;center_on_screen=true&amp;width=950&amp;height=800&amp;_dd2=%26f%3Dsld%26c%3Dtrue%26os%3D163791%26oe%3D163792" TargetMode="External"/><Relationship Id="rId140" Type="http://schemas.openxmlformats.org/officeDocument/2006/relationships/hyperlink" Target="fdsup://factset/Doc%20Viewer%20Single?float_window=true&amp;positioning_strategy=center_on_screen&amp;_doc_docfn=U2FsdGVkX1/i+ltSBGS7OwhQd/BhaKgIcfZpyZZElCnHkj1qTHBhFELhwT8MKi+7UfxMFM5DIO2eiDDrU8y6wdFkI3m64NmY7O6y8D8ieFY=&amp;_app_id=central_doc_viewer&amp;center_on_screen=true&amp;width=950&amp;height=800&amp;_dd2=%26f%3Dsld%26c%3Dtrue%26os%3D59747%26oe%3D59754" TargetMode="External"/><Relationship Id="rId182" Type="http://schemas.openxmlformats.org/officeDocument/2006/relationships/hyperlink" Target="fdsup://factset/Doc%20Viewer%20Single?float_window=true&amp;positioning_strategy=center_on_screen&amp;_doc_docfn=U2FsdGVkX19369gZD9vIXFK1Vo1DtC3vD4UFYL4Kdq7NC3a2Khf1/L8AYbUqjHXIj70SrJplMlQ18iYCVSW1CIcCADMCtwbqU/HwTqwFclA=&amp;_app_id=central_doc_viewer&amp;center_on_screen=true&amp;width=950&amp;height=800&amp;_dd2=%26f%3Dsld%26c%3Dtrue%26os%3D63241%26oe%3D63247" TargetMode="External"/><Relationship Id="rId6" Type="http://schemas.openxmlformats.org/officeDocument/2006/relationships/hyperlink" Target="fdsup://factset/Doc%20Viewer%20Single?float_window=true&amp;positioning_strategy=center_on_screen&amp;_doc_docfn=U2FsdGVkX19XqgvZPO8EW1zWnlow6vaVjHUciMf52cu1Yj6yGTr815kisqhmUbmeRIs25AJUyGl5LOqP5aQf7keifkBeT+5aIabG4OsrtvY=&amp;_app_id=central_doc_viewer&amp;center_on_screen=true&amp;width=950&amp;height=800&amp;_dd2=%26f%3Dsld%26c%3Dtrue%26os%3D160843%26oe%3D160850" TargetMode="External"/><Relationship Id="rId238" Type="http://schemas.openxmlformats.org/officeDocument/2006/relationships/hyperlink" Target="fdsup://factset/Doc%20Viewer%20Single?float_window=true&amp;positioning_strategy=center_on_screen&amp;_doc_docfn=U2FsdGVkX1+I9M3SzK3m9/NMUid+S9bbwe1v/HVXQw5wmEt2Piq0Q32UDwLw/qB06rzSHm3eUGgO9KNQXLlN+miT8WZu17fb04mhOTW2sKg=&amp;_app_id=central_doc_viewer&amp;center_on_screen=true&amp;width=950&amp;height=800&amp;_dd2=%26f%3Dsld%26c%3Dtrue%26os%3D63991%26oe%3D63997" TargetMode="External"/><Relationship Id="rId291" Type="http://schemas.openxmlformats.org/officeDocument/2006/relationships/hyperlink" Target="fdsup://factset/Doc%20Viewer%20Single?float_window=true&amp;positioning_strategy=center_on_screen&amp;_doc_docfn=U2FsdGVkX18GJZSr3snUQFZzbtFfcOoq6eNwf5de/WkRrD5bg8lw55IlXXSlqiRvpGheGyWRMRsp35O4ZD9hgcEE3GIEcSKdtBqlxBapS98=&amp;_app_id=central_doc_viewer&amp;center_on_screen=true&amp;width=950&amp;height=800&amp;_dd2=%26f%3Dsld%26c%3Dtrue%26os%3D1388510%26oe%3D1388518" TargetMode="External"/><Relationship Id="rId305" Type="http://schemas.openxmlformats.org/officeDocument/2006/relationships/hyperlink" Target="fdsup://factset/Doc%20Viewer%20Single?float_window=true&amp;positioning_strategy=center_on_screen&amp;_doc_docfn=U2FsdGVkX1+PE3gJrqsqVWs/gqnvI77Rz43K32fcaeGjE2etR7xSa+7A8qoUubdfM6tO79OLJRbEDQ+hN2Sb2/SLBXEA1zLbaM6r1j/J2ws=&amp;_app_id=central_doc_viewer&amp;center_on_screen=true&amp;width=950&amp;height=800&amp;_dd2=%26f%3Dsld%26c%3Dtrue%26os%3D71610%26oe%3D71615" TargetMode="External"/><Relationship Id="rId44" Type="http://schemas.openxmlformats.org/officeDocument/2006/relationships/hyperlink" Target="fdsup://factset/Doc%20Viewer%20Single?float_window=true&amp;positioning_strategy=center_on_screen&amp;_doc_docfn=U2FsdGVkX1+V5auiil5L/E2VptRahdOa70gyGWht4vlKiGCAGzLTPAKqhIYeYnwlB/M3N+r1emIdb7zqfcMjr4HqV04PtF/JmhVP7tKXdq8=&amp;_app_id=central_doc_viewer&amp;center_on_screen=true&amp;width=950&amp;height=800&amp;_dd2=%26f%3Dsld%26c%3Dtrue%26os%3D125475%26oe%3D125478" TargetMode="External"/><Relationship Id="rId86" Type="http://schemas.openxmlformats.org/officeDocument/2006/relationships/hyperlink" Target="fdsup://factset/Doc%20Viewer%20Single?float_window=true&amp;positioning_strategy=center_on_screen&amp;_doc_docfn=U2FsdGVkX19Rue2sNAXs0NL7+1S3WpBfWNbNtQKo8BqC0HgH5aNv6Lp2cw64kVCSdPyP/oXj/Rf+UlhDZ9qoD8LxOxuo2ZLlH6lYFc1OysE=&amp;_app_id=central_doc_viewer&amp;center_on_screen=true&amp;width=950&amp;height=800&amp;_dd2=%26f%3Dsld%26c%3Dtrue%26os%3D168496%26oe%3D168504" TargetMode="External"/><Relationship Id="rId151" Type="http://schemas.openxmlformats.org/officeDocument/2006/relationships/hyperlink" Target="fdsup://factset/Doc%20Viewer%20Single?float_window=true&amp;positioning_strategy=center_on_screen&amp;_doc_docfn=U2FsdGVkX183J7DHMfNbDEX8bbD5JZftyoYyjCsHvudfGPUjLw68xly4pcO8qoui28dXnMqS56NR/CMxriyCPOILCIQ2cjhf7TiUFcSkopU=&amp;_app_id=central_doc_viewer&amp;center_on_screen=true&amp;width=950&amp;height=800&amp;_dd2=%26f%3Dsld%26c%3Dtrue%26os%3D56756%26oe%3D56762" TargetMode="External"/><Relationship Id="rId193" Type="http://schemas.openxmlformats.org/officeDocument/2006/relationships/hyperlink" Target="fdsup://factset/Doc%20Viewer%20Single?float_window=true&amp;positioning_strategy=center_on_screen&amp;_doc_docfn=U2FsdGVkX1+vg1i14oh0qx0oE87oTgZETe0k9eO9/zqLnLZe7mik+3mUZ90RAQX3WbdQlTKCQ2ECDrz3Ob6YxvTEAmrH6LHdZUiNOQrhj84=&amp;_app_id=central_doc_viewer&amp;center_on_screen=true&amp;width=950&amp;height=800&amp;_dd2=%26f%3Dsld%26c%3Dtrue%26os%3D69084%26oe%3D69093" TargetMode="External"/><Relationship Id="rId207" Type="http://schemas.openxmlformats.org/officeDocument/2006/relationships/hyperlink" Target="fdsup://factset/Doc%20Viewer%20Single?float_window=true&amp;positioning_strategy=center_on_screen&amp;_doc_docfn=U2FsdGVkX1/HdWKHcvvt1FLXRWuxf4/nyhQqeMOlH5AHiR3KeVaebU9USsyD4B30wSdYB4JkKzkeBIQ//OG8/VGYZYjgSh4t5s6hx1bFm60=&amp;_app_id=central_doc_viewer&amp;center_on_screen=true&amp;width=950&amp;height=800&amp;_dd2=%26f%3Dsld%26c%3Dtrue%26os%3D63348%26oe%3D63355" TargetMode="External"/><Relationship Id="rId249" Type="http://schemas.openxmlformats.org/officeDocument/2006/relationships/hyperlink" Target="fdsup://factset/Doc%20Viewer%20Single?float_window=true&amp;positioning_strategy=center_on_screen&amp;_doc_docfn=U2FsdGVkX19yaP1OPt8jI08zyLv46CVKlSvy1m3cYu0CfsI+5efOlXUjZ77mF3XuVGqgE2Mwx0bV18hngcPHRS9AjS4X9bcFPRJKHNLXMIQ=&amp;_app_id=central_doc_viewer&amp;center_on_screen=true&amp;width=950&amp;height=800&amp;_dd2=%26f%3Dsld%26c%3Dtrue%26os%3D1382311%26oe%3D1382317" TargetMode="External"/><Relationship Id="rId13" Type="http://schemas.openxmlformats.org/officeDocument/2006/relationships/hyperlink" Target="fdsup://factset/Doc%20Viewer%20Single?float_window=true&amp;positioning_strategy=center_on_screen&amp;_doc_docfn=U2FsdGVkX1+2HWsdysooe+jqJpL0FdfVKPw2oUz7j2yRe2IqNVS3jfooTu94fRbDWc14pLZv/Fd7enz8eF9w1+ihcFyfny5MZTdUleFxvgI=&amp;_app_id=central_doc_viewer&amp;center_on_screen=true&amp;width=950&amp;height=800&amp;_dd2=%26f%3Dsld%26c%3Dtrue%26os%3D158405%26oe%3D158412" TargetMode="External"/><Relationship Id="rId109" Type="http://schemas.openxmlformats.org/officeDocument/2006/relationships/hyperlink" Target="fdsup://factset/Doc%20Viewer%20Single?float_window=true&amp;positioning_strategy=center_on_screen&amp;_doc_docfn=U2FsdGVkX1+KMdOZt3cBTAchhQf17W4Shz55JM7p0JrMf7LV8c6Wy5KDFtBPDEDbrwsRAjWeR0m4SczIuy1ZCHuzh+2i/yoz9i8erAFieLs=&amp;_app_id=central_doc_viewer&amp;center_on_screen=true&amp;width=950&amp;height=800&amp;_dd2=%26f%3Dsld%26c%3Dtrue%26os%3D137160%26oe%3D137171" TargetMode="External"/><Relationship Id="rId260" Type="http://schemas.openxmlformats.org/officeDocument/2006/relationships/hyperlink" Target="fdsup://factset/Doc%20Viewer%20Single?float_window=true&amp;positioning_strategy=center_on_screen&amp;_doc_docfn=U2FsdGVkX18g93UFc0jKZod+jkmFhDqdSZqh9DzqLZ6tMrKqFaHyWvQk+dNSDs08TuN9OgqlS61SnUwpWZ3lOu+P9YD48QcQHvqBXNcwOPI=&amp;_app_id=central_doc_viewer&amp;center_on_screen=true&amp;width=950&amp;height=800&amp;_dd2=%26f%3Dsld%26c%3Dtrue%26os%3D64887%26oe%3D64893" TargetMode="External"/><Relationship Id="rId316" Type="http://schemas.openxmlformats.org/officeDocument/2006/relationships/hyperlink" Target="fdsup://factset/Doc%20Viewer%20Single?float_window=true&amp;positioning_strategy=center_on_screen&amp;_doc_docfn=U2FsdGVkX18Q7xyQFMsajucarZAHJgA0YkHGGZn+LjW2rcyDhy9ViBQEWyz9tqDWeO2t18POmcM15gxQ9P8K4GUOFgq7G78P5O587b5Vwsk=&amp;_app_id=central_doc_viewer&amp;center_on_screen=true&amp;width=950&amp;height=800&amp;_dd2=%26f%3Dsld%26c%3Dtrue%26os%3D71217%26oe%3D71224" TargetMode="External"/><Relationship Id="rId55" Type="http://schemas.openxmlformats.org/officeDocument/2006/relationships/hyperlink" Target="fdsup://factset/Doc%20Viewer%20Single?float_window=true&amp;positioning_strategy=center_on_screen&amp;_doc_docfn=U2FsdGVkX1+QOw0JtjXcCBcplptNin1wf3fZwG1jrA2yB9XTQEbAuhjiZ7mpKbHGp1pd7ye/pZ1T2PPAKFglYOKZkNDQECFYaG0gNNW7Y8Q=&amp;_app_id=central_doc_viewer&amp;center_on_screen=true&amp;width=950&amp;height=800&amp;_dd2=%26f%3Dsld%26c%3Dtrue%26os%3D162164%26oe%3D162170" TargetMode="External"/><Relationship Id="rId97" Type="http://schemas.openxmlformats.org/officeDocument/2006/relationships/hyperlink" Target="fdsup://factset/Doc%20Viewer%20Single?float_window=true&amp;positioning_strategy=center_on_screen&amp;_doc_docfn=U2FsdGVkX18acAkEG7oOrlzwWg67ftiC+av+9njnEY4TyTt2BiR+J8hFPVzRxW2v8NuYXckK/9whrlt9DkzYlKACXUyMm5uwTStOqaR8MRs=&amp;_app_id=central_doc_viewer&amp;center_on_screen=true&amp;width=950&amp;height=800&amp;_dd2=%26f%3Dsld%26c%3Dtrue%26os%3D130765%26oe%3D130771" TargetMode="External"/><Relationship Id="rId120" Type="http://schemas.openxmlformats.org/officeDocument/2006/relationships/hyperlink" Target="fdsup://factset/Doc%20Viewer%20Single?float_window=true&amp;positioning_strategy=center_on_screen&amp;_doc_docfn=U2FsdGVkX18dIRlrPu2VybNSMG+CKcckh6XgbSLQQDOsrPYCEmEZsgaLOrpKM0c79k3pStUD9X+2ivhjtCktlvt2vI1uc+lST+QNprUWEh0=&amp;_app_id=central_doc_viewer&amp;center_on_screen=true&amp;width=950&amp;height=800&amp;_dd2=%26f%3Dsld%26c%3Dtrue%26os%3D61320%26oe%3D61327" TargetMode="External"/><Relationship Id="rId162" Type="http://schemas.openxmlformats.org/officeDocument/2006/relationships/hyperlink" Target="fdsup://factset/Doc%20Viewer%20Single?float_window=true&amp;positioning_strategy=center_on_screen&amp;_doc_docfn=U2FsdGVkX18iPeuICwJ8T+PsvlMfp3/hPj7Is+/hxcvNQQ0YpFXC+AtXn96a/cWc8HI2aLsSSmMBLmn1zuzhfIgfVAL3Ehe+15TvxQCttJA=&amp;_app_id=central_doc_viewer&amp;center_on_screen=true&amp;width=950&amp;height=800&amp;_dd2=%26f%3Dsld%26c%3Dtrue%26os%3D59437%26oe%3D59444" TargetMode="External"/><Relationship Id="rId218" Type="http://schemas.openxmlformats.org/officeDocument/2006/relationships/hyperlink" Target="fdsup://factset/Doc%20Viewer%20Single?float_window=true&amp;positioning_strategy=center_on_screen&amp;_doc_docfn=U2FsdGVkX184XiluwLpsVsft4nJV5IyXpuElBIKEvKIvzApX9YPxOqlu3xUXJJTBAbUKXLzs8/WgblRrFdgPdFGls/JsEWGncuHFENYAqJg=&amp;_app_id=central_doc_viewer&amp;center_on_screen=true&amp;width=950&amp;height=800&amp;_dd2=%26f%3Dsld%26c%3Dtrue%26os%3D64694%26oe%3D64700" TargetMode="External"/><Relationship Id="rId271" Type="http://schemas.openxmlformats.org/officeDocument/2006/relationships/hyperlink" Target="fdsup://factset/Doc%20Viewer%20Single?float_window=true&amp;positioning_strategy=center_on_screen&amp;_doc_docfn=U2FsdGVkX18K1sYNYYDi7PZ7np1HEN3Og4ylUyev0UufzPDIEQnSSKOrvlb/3vBlSNo0b70LvhBPz6xErOyeKClg9px8JQg88MZHOPzCezs=&amp;_app_id=central_doc_viewer&amp;center_on_screen=true&amp;width=950&amp;height=800&amp;_dd2=%26f%3Dsld%26c%3Dtrue%26os%3D1545986%26oe%3D1545993" TargetMode="External"/><Relationship Id="rId24" Type="http://schemas.openxmlformats.org/officeDocument/2006/relationships/hyperlink" Target="fdsup://factset/Doc%20Viewer%20Single?float_window=true&amp;positioning_strategy=center_on_screen&amp;_doc_docfn=U2FsdGVkX1/hFc71GL+b/1uS5h4VAWWlDJIQO7vpuiMUd6X2rQ2VNoYSFu10w+hVvYuoHqS83YEWMJwi4ayNrYAPKWGPxjkF6FHfswUs+Dk=&amp;_app_id=central_doc_viewer&amp;center_on_screen=true&amp;width=950&amp;height=800&amp;_dd2=%26f%3Dsld%26c%3Dtrue%26os%3D123593%26oe%3D123600" TargetMode="External"/><Relationship Id="rId66" Type="http://schemas.openxmlformats.org/officeDocument/2006/relationships/hyperlink" Target="fdsup://factset/Doc%20Viewer%20Single?float_window=true&amp;positioning_strategy=center_on_screen&amp;_doc_docfn=U2FsdGVkX19sK/q3z+ZnRHLbRzfaxvy/tY17xvFriWfcf5MAltVjaonn9TjeCZSBAyJ4W/rR4R4gueda9MQkUviVF9PjiZjH7Zzckcph8c8=&amp;_app_id=central_doc_viewer&amp;center_on_screen=true&amp;width=950&amp;height=800&amp;_dd2=%26f%3Dsld%26c%3Dtrue%26os%3D126809%26oe%3D126815" TargetMode="External"/><Relationship Id="rId131" Type="http://schemas.openxmlformats.org/officeDocument/2006/relationships/hyperlink" Target="fdsup://factset/Doc%20Viewer%20Single?float_window=true&amp;positioning_strategy=center_on_screen&amp;_doc_docfn=U2FsdGVkX1+8Hv4WzE02RFbIa2XYDIaB/dtBuzPp/sDlcBq1rIz5g+pA//AzHoukL+sQxtbm6fkIVXj2qvCEcmqhQjxcrAgOiyKqGhgDugQ=&amp;_app_id=central_doc_viewer&amp;center_on_screen=true&amp;width=950&amp;height=800&amp;_dd2=%26f%3Dsld%26c%3Dtrue%26os%3D1523947%26oe%3D1523953" TargetMode="External"/><Relationship Id="rId327" Type="http://schemas.openxmlformats.org/officeDocument/2006/relationships/hyperlink" Target="fdsup://factset/Doc%20Viewer%20Single?float_window=true&amp;positioning_strategy=center_on_screen&amp;_doc_docfn=U2FsdGVkX1+0sXh3VhuJiydlB8dyoNZ4PEYaY/7ZpNpGvfJGUJkvicWVEN7zl9q5SUXjTuJ9DuAP0+YyVCdb9kdOarEHClXnsyd0bEZp6Xs=&amp;_app_id=central_doc_viewer&amp;center_on_screen=true&amp;width=950&amp;height=800&amp;_dd2=%26f%3Dsld%26c%3Dtrue%26os%3D68515%26oe%3D68524"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5.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5.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E8C6B-813E-4115-BCED-85D05123E606}">
  <dimension ref="A1:B1"/>
  <sheetViews>
    <sheetView workbookViewId="0"/>
  </sheetViews>
  <sheetFormatPr defaultRowHeight="12.5"/>
  <sheetData>
    <row r="1" spans="1:2">
      <c r="B1" t="s">
        <v>236</v>
      </c>
    </row>
  </sheetData>
  <phoneticPr fontId="8"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F0429-A61A-4652-8E52-1F3D7EDC426A}">
  <sheetPr>
    <tabColor theme="8" tint="0.59999389629810485"/>
  </sheetPr>
  <dimension ref="B1:V42"/>
  <sheetViews>
    <sheetView showGridLines="0" tabSelected="1" zoomScale="93" zoomScaleNormal="93" workbookViewId="0">
      <selection activeCell="C21" sqref="C21"/>
    </sheetView>
  </sheetViews>
  <sheetFormatPr defaultRowHeight="12.5"/>
  <cols>
    <col min="2" max="2" width="20.6328125" customWidth="1"/>
    <col min="3" max="3" width="13.36328125" customWidth="1"/>
    <col min="4" max="4" width="1.6328125" customWidth="1"/>
    <col min="5" max="5" width="23" bestFit="1" customWidth="1"/>
    <col min="6" max="6" width="9.453125" customWidth="1"/>
    <col min="7" max="9" width="9.453125" bestFit="1" customWidth="1"/>
    <col min="10" max="12" width="9.453125" customWidth="1"/>
    <col min="14" max="14" width="1.6328125" customWidth="1"/>
    <col min="15" max="15" width="10.54296875" bestFit="1" customWidth="1"/>
    <col min="17" max="17" width="1.6328125" customWidth="1"/>
    <col min="18" max="22" width="10.6328125" customWidth="1"/>
  </cols>
  <sheetData>
    <row r="1" spans="2:22" ht="13" thickBot="1"/>
    <row r="2" spans="2:22" ht="13.5" thickBot="1">
      <c r="B2" s="145" t="s">
        <v>221</v>
      </c>
      <c r="C2" s="146" t="s">
        <v>233</v>
      </c>
      <c r="E2" s="329" t="s">
        <v>189</v>
      </c>
      <c r="F2" s="330"/>
      <c r="G2" s="330"/>
      <c r="H2" s="330"/>
      <c r="I2" s="330"/>
      <c r="J2" s="330"/>
      <c r="K2" s="330"/>
      <c r="L2" s="330"/>
      <c r="M2" s="331"/>
      <c r="O2" s="11" t="s">
        <v>239</v>
      </c>
      <c r="P2" s="213">
        <v>49.5</v>
      </c>
      <c r="R2" s="147" t="s">
        <v>214</v>
      </c>
      <c r="S2" s="214" t="s">
        <v>241</v>
      </c>
      <c r="T2" s="148" t="s">
        <v>242</v>
      </c>
      <c r="U2" s="218" t="s">
        <v>243</v>
      </c>
      <c r="V2" s="148" t="s">
        <v>242</v>
      </c>
    </row>
    <row r="3" spans="2:22" ht="13.5" thickBot="1">
      <c r="B3" s="149" t="s">
        <v>222</v>
      </c>
      <c r="C3" s="150" t="s">
        <v>234</v>
      </c>
      <c r="E3" s="151"/>
      <c r="F3" s="152" t="s">
        <v>190</v>
      </c>
      <c r="G3" s="152" t="s">
        <v>191</v>
      </c>
      <c r="H3" s="152" t="s">
        <v>192</v>
      </c>
      <c r="I3" s="152" t="s">
        <v>238</v>
      </c>
      <c r="J3" s="152" t="s">
        <v>193</v>
      </c>
      <c r="K3" s="152" t="s">
        <v>194</v>
      </c>
      <c r="L3" s="152" t="s">
        <v>195</v>
      </c>
      <c r="M3" s="153" t="s">
        <v>196</v>
      </c>
      <c r="O3" s="11" t="s">
        <v>240</v>
      </c>
      <c r="P3" s="213">
        <v>46</v>
      </c>
      <c r="R3" s="145">
        <v>65</v>
      </c>
      <c r="S3" s="154">
        <f t="shared" ref="S3:S18" ca="1" si="0">$C$21/R3-1</f>
        <v>-4.7995176750229573E-2</v>
      </c>
      <c r="T3" s="215">
        <f ca="1">S3/(3/4)</f>
        <v>-6.3993569000306103E-2</v>
      </c>
      <c r="U3" s="215">
        <f t="shared" ref="U3:U36" ca="1" si="1">$C$28/R3-1</f>
        <v>0.50438129258633668</v>
      </c>
      <c r="V3" s="154">
        <f t="shared" ref="V3:V36" ca="1" si="2">($C$28/R3)^(1/2.75)-1</f>
        <v>0.1600956294184448</v>
      </c>
    </row>
    <row r="4" spans="2:22" ht="13.5" thickBot="1">
      <c r="B4" s="327" t="s">
        <v>213</v>
      </c>
      <c r="C4" s="328"/>
      <c r="E4" s="145" t="s">
        <v>197</v>
      </c>
      <c r="F4" s="155">
        <f>'AZEK-US'!F4</f>
        <v>1178.973999</v>
      </c>
      <c r="G4" s="155">
        <f>'AZEK-US'!K4</f>
        <v>1355.5859989999999</v>
      </c>
      <c r="H4" s="155">
        <f>'AZEK-US'!P4</f>
        <v>1370.31601</v>
      </c>
      <c r="I4" s="156">
        <f>'AZEK-US'!U4</f>
        <v>1441.4479799999999</v>
      </c>
      <c r="J4" s="157">
        <f>'AZEK-US'!Z4</f>
        <v>1575.8409601000001</v>
      </c>
      <c r="K4" s="157">
        <f ca="1">'AZEK-US'!AA4</f>
        <v>1741.6226796000003</v>
      </c>
      <c r="L4" s="157">
        <f ca="1">'AZEK-US'!AB4</f>
        <v>1955.1725603658003</v>
      </c>
      <c r="M4" s="158">
        <f ca="1">'AZEK-US'!AC4</f>
        <v>2196.150604091853</v>
      </c>
      <c r="R4" s="162">
        <v>64</v>
      </c>
      <c r="S4" s="159">
        <f t="shared" ca="1" si="0"/>
        <v>-3.3120101386951872E-2</v>
      </c>
      <c r="T4" s="216">
        <f t="shared" ref="T4:T36" ca="1" si="3">S4/(3/4)</f>
        <v>-4.4160135182602499E-2</v>
      </c>
      <c r="U4" s="216">
        <f t="shared" ca="1" si="1"/>
        <v>0.5278872502829981</v>
      </c>
      <c r="V4" s="159">
        <f t="shared" ca="1" si="2"/>
        <v>0.16665458829919544</v>
      </c>
    </row>
    <row r="5" spans="2:22" ht="13" thickBot="1">
      <c r="B5" s="145" t="s">
        <v>214</v>
      </c>
      <c r="C5" s="160">
        <v>50.09</v>
      </c>
      <c r="E5" s="149" t="s">
        <v>198</v>
      </c>
      <c r="F5" s="161">
        <f>'AZEK-US'!F5</f>
        <v>0.31105058243444472</v>
      </c>
      <c r="G5" s="161">
        <f>G4/F4-1</f>
        <v>0.14980143764815956</v>
      </c>
      <c r="H5" s="161">
        <f t="shared" ref="H5:M5" si="4">H4/G4-1</f>
        <v>1.0866157522183117E-2</v>
      </c>
      <c r="I5" s="161">
        <f t="shared" si="4"/>
        <v>5.1909172395935066E-2</v>
      </c>
      <c r="J5" s="200">
        <f t="shared" si="4"/>
        <v>9.3234707020089624E-2</v>
      </c>
      <c r="K5" s="200">
        <f t="shared" ca="1" si="4"/>
        <v>0.10520206270655641</v>
      </c>
      <c r="L5" s="200">
        <f t="shared" ca="1" si="4"/>
        <v>0.12261546847497762</v>
      </c>
      <c r="M5" s="201">
        <f t="shared" ca="1" si="4"/>
        <v>0.12325154751607559</v>
      </c>
      <c r="R5" s="162">
        <v>63</v>
      </c>
      <c r="S5" s="159">
        <f t="shared" ca="1" si="0"/>
        <v>-1.7772801408966976E-2</v>
      </c>
      <c r="T5" s="216">
        <f t="shared" ca="1" si="3"/>
        <v>-2.3697068545289302E-2</v>
      </c>
      <c r="U5" s="216">
        <f t="shared" ca="1" si="1"/>
        <v>0.55213942885891876</v>
      </c>
      <c r="V5" s="159">
        <f t="shared" ca="1" si="2"/>
        <v>0.17335480694546579</v>
      </c>
    </row>
    <row r="6" spans="2:22">
      <c r="B6" s="162" t="s">
        <v>215</v>
      </c>
      <c r="C6" s="163" cm="1">
        <f t="array" ref="C6">_xll.FDS("AZEK-US","FREF_SHARES_COMPANY(0,,,,0,""LEGACY"")")</f>
        <v>143.55551147460901</v>
      </c>
      <c r="E6" s="145" t="s">
        <v>394</v>
      </c>
      <c r="F6" s="300">
        <f>F4</f>
        <v>1178.973999</v>
      </c>
      <c r="G6" s="300">
        <f t="shared" ref="G6:I6" si="5">G4</f>
        <v>1355.5859989999999</v>
      </c>
      <c r="H6" s="300">
        <f t="shared" si="5"/>
        <v>1370.31601</v>
      </c>
      <c r="I6" s="300">
        <f t="shared" si="5"/>
        <v>1441.4479799999999</v>
      </c>
      <c r="J6" s="301">
        <v>1548</v>
      </c>
      <c r="K6" s="301">
        <v>1682</v>
      </c>
      <c r="L6" s="301">
        <v>1807</v>
      </c>
      <c r="M6" s="302"/>
      <c r="R6" s="162">
        <v>62</v>
      </c>
      <c r="S6" s="159">
        <f t="shared" ca="1" si="0"/>
        <v>-1.9304272381438503E-3</v>
      </c>
      <c r="T6" s="216">
        <f t="shared" ca="1" si="3"/>
        <v>-2.5739029841918004E-3</v>
      </c>
      <c r="U6" s="216">
        <f t="shared" ca="1" si="1"/>
        <v>0.57717393577599796</v>
      </c>
      <c r="V6" s="159">
        <f t="shared" ca="1" si="2"/>
        <v>0.18020164337256195</v>
      </c>
    </row>
    <row r="7" spans="2:22" ht="13" thickBot="1">
      <c r="B7" s="162" t="s">
        <v>216</v>
      </c>
      <c r="C7" s="164">
        <f>C5*C6</f>
        <v>7190.6955697631656</v>
      </c>
      <c r="E7" s="149" t="s">
        <v>198</v>
      </c>
      <c r="F7" s="161">
        <v>0.31105058243444472</v>
      </c>
      <c r="G7" s="161">
        <v>0.14980143764815956</v>
      </c>
      <c r="H7" s="161">
        <v>1.0866157522183117E-2</v>
      </c>
      <c r="I7" s="161">
        <v>5.1909172395935066E-2</v>
      </c>
      <c r="J7" s="200">
        <f>J6/I6-1</f>
        <v>7.3920128564056942E-2</v>
      </c>
      <c r="K7" s="200">
        <f t="shared" ref="K7:L7" si="6">K6/J6-1</f>
        <v>8.6563307493540131E-2</v>
      </c>
      <c r="L7" s="200">
        <f t="shared" si="6"/>
        <v>7.4316290130796769E-2</v>
      </c>
      <c r="M7" s="201"/>
      <c r="R7" s="162">
        <v>61</v>
      </c>
      <c r="S7" s="159">
        <f t="shared" ca="1" si="0"/>
        <v>1.4431369036640662E-2</v>
      </c>
      <c r="T7" s="216">
        <f t="shared" ca="1" si="3"/>
        <v>1.924182538218755E-2</v>
      </c>
      <c r="U7" s="216">
        <f t="shared" ca="1" si="1"/>
        <v>0.60302924619855536</v>
      </c>
      <c r="V7" s="159">
        <f t="shared" ca="1" si="2"/>
        <v>0.18720074952973587</v>
      </c>
    </row>
    <row r="8" spans="2:22" ht="13" thickBot="1">
      <c r="B8" s="162" t="s">
        <v>217</v>
      </c>
      <c r="C8" s="163" cm="1">
        <f t="array" ref="C8">_xll.FDS("AZEK-US","FF_DEBT(ANN_R,0)")</f>
        <v>547.32500000000005</v>
      </c>
      <c r="I8" s="103"/>
      <c r="J8" s="103"/>
      <c r="K8" s="103"/>
      <c r="L8" s="103"/>
      <c r="M8" s="103"/>
      <c r="R8" s="162">
        <v>60</v>
      </c>
      <c r="S8" s="159">
        <f t="shared" ca="1" si="0"/>
        <v>3.1338558520584758E-2</v>
      </c>
      <c r="T8" s="216">
        <f t="shared" ca="1" si="3"/>
        <v>4.1784744694113009E-2</v>
      </c>
      <c r="U8" s="216">
        <f t="shared" ca="1" si="1"/>
        <v>0.62974640030186468</v>
      </c>
      <c r="V8" s="159">
        <f t="shared" ca="1" si="2"/>
        <v>0.19435809256603909</v>
      </c>
    </row>
    <row r="9" spans="2:22">
      <c r="B9" s="162" t="s">
        <v>218</v>
      </c>
      <c r="C9" s="163" cm="1">
        <f t="array" ref="C9">_xll.FDS("AZEK-US","FF_CASH_ST(ANN_R,0)")</f>
        <v>164.02500000000001</v>
      </c>
      <c r="E9" s="145" t="s">
        <v>199</v>
      </c>
      <c r="F9" s="165">
        <f>'AZEK-US'!F72</f>
        <v>268.38798700000007</v>
      </c>
      <c r="G9" s="165">
        <f>'AZEK-US'!K72</f>
        <v>290.38499099999996</v>
      </c>
      <c r="H9" s="165">
        <f>'AZEK-US'!P72</f>
        <v>283.83802300000002</v>
      </c>
      <c r="I9" s="165">
        <f>'AZEK-US'!U72</f>
        <v>379.3409909999998</v>
      </c>
      <c r="J9" s="202">
        <f>'AZEK-US'!Z72</f>
        <v>423.62320024457409</v>
      </c>
      <c r="K9" s="202">
        <f ca="1">'AZEK-US'!AA72</f>
        <v>488.87037857184328</v>
      </c>
      <c r="L9" s="202">
        <f ca="1">'AZEK-US'!AB72</f>
        <v>567.91483490188693</v>
      </c>
      <c r="M9" s="203">
        <f ca="1">'AZEK-US'!AC72</f>
        <v>654.47309822507066</v>
      </c>
      <c r="R9" s="162">
        <v>59</v>
      </c>
      <c r="S9" s="159">
        <f t="shared" ca="1" si="0"/>
        <v>4.8818873071781121E-2</v>
      </c>
      <c r="T9" s="216">
        <f t="shared" ca="1" si="3"/>
        <v>6.5091830762374833E-2</v>
      </c>
      <c r="U9" s="216">
        <f t="shared" ca="1" si="1"/>
        <v>0.65736922064596404</v>
      </c>
      <c r="V9" s="159">
        <f t="shared" ca="1" si="2"/>
        <v>0.20167997801924331</v>
      </c>
    </row>
    <row r="10" spans="2:22" ht="13" thickBot="1">
      <c r="B10" s="162" t="s">
        <v>219</v>
      </c>
      <c r="C10" s="163">
        <f>C8-C9</f>
        <v>383.30000000000007</v>
      </c>
      <c r="E10" s="149" t="s">
        <v>200</v>
      </c>
      <c r="F10" s="167">
        <f>F9/F4</f>
        <v>0.22764538253400451</v>
      </c>
      <c r="G10" s="167">
        <f t="shared" ref="G10:M10" si="7">G9/G4</f>
        <v>0.21421362511431485</v>
      </c>
      <c r="H10" s="167">
        <f t="shared" si="7"/>
        <v>0.20713326045136116</v>
      </c>
      <c r="I10" s="167">
        <f t="shared" si="7"/>
        <v>0.26316661874957142</v>
      </c>
      <c r="J10" s="167">
        <f t="shared" si="7"/>
        <v>0.26882357482172042</v>
      </c>
      <c r="K10" s="167">
        <f t="shared" ca="1" si="7"/>
        <v>0.28069821569165743</v>
      </c>
      <c r="L10" s="167">
        <f t="shared" ca="1" si="7"/>
        <v>0.29046788320087391</v>
      </c>
      <c r="M10" s="175">
        <f t="shared" ca="1" si="7"/>
        <v>0.29800920620182458</v>
      </c>
      <c r="R10" s="162">
        <v>58</v>
      </c>
      <c r="S10" s="159">
        <f t="shared" ca="1" si="0"/>
        <v>6.6901957090260034E-2</v>
      </c>
      <c r="T10" s="216">
        <f t="shared" ca="1" si="3"/>
        <v>8.920260945368004E-2</v>
      </c>
      <c r="U10" s="216">
        <f t="shared" ca="1" si="1"/>
        <v>0.6859445520364118</v>
      </c>
      <c r="V10" s="159">
        <f t="shared" ca="1" si="2"/>
        <v>0.20917307513769412</v>
      </c>
    </row>
    <row r="11" spans="2:22" ht="13" thickBot="1">
      <c r="B11" s="149" t="s">
        <v>220</v>
      </c>
      <c r="C11" s="172">
        <f>C7+C10</f>
        <v>7573.9955697631658</v>
      </c>
      <c r="R11" s="162">
        <v>57</v>
      </c>
      <c r="S11" s="159">
        <f t="shared" ca="1" si="0"/>
        <v>8.5619535284825909E-2</v>
      </c>
      <c r="T11" s="216">
        <f t="shared" ca="1" si="3"/>
        <v>0.11415938037976787</v>
      </c>
      <c r="U11" s="216">
        <f t="shared" ca="1" si="1"/>
        <v>0.71552252663354166</v>
      </c>
      <c r="V11" s="159">
        <f t="shared" ca="1" si="2"/>
        <v>0.21684444457192731</v>
      </c>
    </row>
    <row r="12" spans="2:22" ht="13" thickBot="1">
      <c r="E12" s="168" t="s">
        <v>201</v>
      </c>
      <c r="F12" s="169">
        <f>'AZEK-US'!F95</f>
        <v>0.59</v>
      </c>
      <c r="G12" s="169">
        <f>'AZEK-US'!K95</f>
        <v>0.91381674283402847</v>
      </c>
      <c r="H12" s="169">
        <f>'AZEK-US'!P95</f>
        <v>0.70360693151079934</v>
      </c>
      <c r="I12" s="169">
        <f>'AZEK-US'!U95</f>
        <v>1.1996395934795399</v>
      </c>
      <c r="J12" s="170">
        <f>'AZEK-US'!Z95</f>
        <v>1.4171565007349189</v>
      </c>
      <c r="K12" s="170">
        <f ca="1">'AZEK-US'!AA95</f>
        <v>1.7188975975343077</v>
      </c>
      <c r="L12" s="170">
        <f ca="1">'AZEK-US'!AB95</f>
        <v>2.0672391125346183</v>
      </c>
      <c r="M12" s="171">
        <f ca="1">'AZEK-US'!AC95</f>
        <v>2.4446196004527971</v>
      </c>
      <c r="R12" s="162">
        <v>56</v>
      </c>
      <c r="S12" s="159">
        <f t="shared" ca="1" si="0"/>
        <v>0.10500559841491208</v>
      </c>
      <c r="T12" s="216">
        <f t="shared" ca="1" si="3"/>
        <v>0.14000746455321611</v>
      </c>
      <c r="U12" s="216">
        <f t="shared" ca="1" si="1"/>
        <v>0.74615685746628357</v>
      </c>
      <c r="V12" s="159">
        <f t="shared" ca="1" si="2"/>
        <v>0.22470156870385161</v>
      </c>
    </row>
    <row r="13" spans="2:22" ht="13.5" thickBot="1">
      <c r="B13" s="332" t="s">
        <v>223</v>
      </c>
      <c r="C13" s="333"/>
      <c r="E13" s="173" t="s">
        <v>198</v>
      </c>
      <c r="F13" s="174">
        <f>'AZEK-US'!F96</f>
        <v>0</v>
      </c>
      <c r="G13" s="174">
        <f>G12/F12-1</f>
        <v>0.54884193700682804</v>
      </c>
      <c r="H13" s="174">
        <f t="shared" ref="H13:M13" si="8">H12/G12-1</f>
        <v>-0.23003497470543544</v>
      </c>
      <c r="I13" s="174">
        <f t="shared" si="8"/>
        <v>0.70498546809885587</v>
      </c>
      <c r="J13" s="206">
        <f t="shared" si="8"/>
        <v>0.18131854636814215</v>
      </c>
      <c r="K13" s="206">
        <f t="shared" ca="1" si="8"/>
        <v>0.21292009502331588</v>
      </c>
      <c r="L13" s="206">
        <f t="shared" ca="1" si="8"/>
        <v>0.20265402400933774</v>
      </c>
      <c r="M13" s="207">
        <f t="shared" ca="1" si="8"/>
        <v>0.18255289658073326</v>
      </c>
      <c r="R13" s="162">
        <v>55</v>
      </c>
      <c r="S13" s="159">
        <f t="shared" ca="1" si="0"/>
        <v>0.12509660929518329</v>
      </c>
      <c r="T13" s="216">
        <f t="shared" ca="1" si="3"/>
        <v>0.16679547906024439</v>
      </c>
      <c r="U13" s="216">
        <f t="shared" ca="1" si="1"/>
        <v>0.77790516396567044</v>
      </c>
      <c r="V13" s="159">
        <f t="shared" ca="1" si="2"/>
        <v>0.23275238491694772</v>
      </c>
    </row>
    <row r="14" spans="2:22" ht="13.5" thickBot="1">
      <c r="B14" s="145" t="s">
        <v>224</v>
      </c>
      <c r="C14" s="146">
        <v>2</v>
      </c>
      <c r="E14" s="145" t="s">
        <v>202</v>
      </c>
      <c r="F14" s="165">
        <v>0.59</v>
      </c>
      <c r="G14" s="165">
        <v>0.91381674283402847</v>
      </c>
      <c r="H14" s="165">
        <v>0.70360693151079934</v>
      </c>
      <c r="I14" s="155">
        <v>1.1996395934795399</v>
      </c>
      <c r="J14" s="208">
        <v>1.4</v>
      </c>
      <c r="K14" s="208">
        <v>1.65</v>
      </c>
      <c r="L14" s="208">
        <v>1.89</v>
      </c>
      <c r="M14" s="209"/>
      <c r="R14" s="162">
        <v>54</v>
      </c>
      <c r="S14" s="159">
        <f t="shared" ca="1" si="0"/>
        <v>0.14593173168953855</v>
      </c>
      <c r="T14" s="216">
        <f t="shared" ca="1" si="3"/>
        <v>0.19457564225271806</v>
      </c>
      <c r="U14" s="216">
        <f t="shared" ca="1" si="1"/>
        <v>0.81082933366873844</v>
      </c>
      <c r="V14" s="159">
        <f t="shared" ca="1" si="2"/>
        <v>0.24100532215208847</v>
      </c>
    </row>
    <row r="15" spans="2:22" ht="13.5" thickBot="1">
      <c r="B15" s="162" t="s">
        <v>396</v>
      </c>
      <c r="C15" s="146">
        <v>2</v>
      </c>
      <c r="E15" s="149" t="s">
        <v>198</v>
      </c>
      <c r="F15" s="167"/>
      <c r="G15" s="167"/>
      <c r="H15" s="167"/>
      <c r="I15" s="167"/>
      <c r="J15" s="204"/>
      <c r="K15" s="204"/>
      <c r="L15" s="204"/>
      <c r="M15" s="205"/>
      <c r="R15" s="162">
        <v>53</v>
      </c>
      <c r="S15" s="159">
        <f t="shared" ca="1" si="0"/>
        <v>0.167553085117643</v>
      </c>
      <c r="T15" s="216">
        <f t="shared" ca="1" si="3"/>
        <v>0.22340411349019065</v>
      </c>
      <c r="U15" s="216">
        <f t="shared" ca="1" si="1"/>
        <v>0.84499592487003539</v>
      </c>
      <c r="V15" s="159">
        <f t="shared" ca="1" si="2"/>
        <v>0.24946934114116726</v>
      </c>
    </row>
    <row r="16" spans="2:22" ht="13.5" thickBot="1">
      <c r="B16" s="149" t="s">
        <v>204</v>
      </c>
      <c r="C16" s="146">
        <v>2</v>
      </c>
      <c r="E16" s="176" t="s">
        <v>203</v>
      </c>
      <c r="F16" s="12"/>
      <c r="G16" s="12"/>
      <c r="H16" s="12"/>
      <c r="I16" s="177"/>
      <c r="J16" s="210">
        <f>J12/J14-1</f>
        <v>1.2254643382084929E-2</v>
      </c>
      <c r="K16" s="210">
        <f ca="1">K12/K14-1</f>
        <v>4.1756119717762274E-2</v>
      </c>
      <c r="L16" s="210">
        <f ca="1">L12/L14-1</f>
        <v>9.3777308219374911E-2</v>
      </c>
      <c r="M16" s="211"/>
      <c r="R16" s="162">
        <v>52</v>
      </c>
      <c r="S16" s="159">
        <f t="shared" ca="1" si="0"/>
        <v>0.19000602906221298</v>
      </c>
      <c r="T16" s="216">
        <f t="shared" ca="1" si="3"/>
        <v>0.25334137208295066</v>
      </c>
      <c r="U16" s="216">
        <f t="shared" ca="1" si="1"/>
        <v>0.88047661573292069</v>
      </c>
      <c r="V16" s="159">
        <f t="shared" ca="1" si="2"/>
        <v>0.25815397876594726</v>
      </c>
    </row>
    <row r="17" spans="2:22" ht="13" thickBot="1">
      <c r="R17" s="162">
        <v>51</v>
      </c>
      <c r="S17" s="159">
        <f t="shared" ca="1" si="0"/>
        <v>0.21333948061245245</v>
      </c>
      <c r="T17" s="216">
        <f t="shared" ca="1" si="3"/>
        <v>0.28445264081660326</v>
      </c>
      <c r="U17" s="216">
        <f t="shared" ca="1" si="1"/>
        <v>0.91734870623748788</v>
      </c>
      <c r="V17" s="159">
        <f t="shared" ca="1" si="2"/>
        <v>0.26706939705374078</v>
      </c>
    </row>
    <row r="18" spans="2:22" ht="13.5" thickBot="1">
      <c r="B18" s="332" t="s">
        <v>230</v>
      </c>
      <c r="C18" s="333"/>
      <c r="E18" s="178" t="s">
        <v>204</v>
      </c>
      <c r="F18" s="152" t="s">
        <v>190</v>
      </c>
      <c r="G18" s="152" t="s">
        <v>191</v>
      </c>
      <c r="H18" s="152" t="s">
        <v>192</v>
      </c>
      <c r="I18" s="152" t="s">
        <v>238</v>
      </c>
      <c r="J18" s="152" t="s">
        <v>193</v>
      </c>
      <c r="K18" s="152" t="s">
        <v>194</v>
      </c>
      <c r="L18" s="152" t="s">
        <v>195</v>
      </c>
      <c r="M18" s="153" t="s">
        <v>196</v>
      </c>
      <c r="R18" s="162">
        <v>50</v>
      </c>
      <c r="S18" s="159">
        <f t="shared" ca="1" si="0"/>
        <v>0.23760627022470171</v>
      </c>
      <c r="T18" s="216">
        <f t="shared" ca="1" si="3"/>
        <v>0.3168083602996023</v>
      </c>
      <c r="U18" s="216">
        <f t="shared" ca="1" si="1"/>
        <v>0.95569568036223762</v>
      </c>
      <c r="V18" s="159">
        <f t="shared" ca="1" si="2"/>
        <v>0.27622643739641495</v>
      </c>
    </row>
    <row r="19" spans="2:22">
      <c r="B19" s="145" t="s">
        <v>228</v>
      </c>
      <c r="C19" s="166">
        <f ca="1">'AZEK-US'!AA95</f>
        <v>1.7188975975343077</v>
      </c>
      <c r="E19" s="145" t="s">
        <v>205</v>
      </c>
      <c r="F19" s="179">
        <f t="shared" ref="F19:M19" si="9">$C$11/F4</f>
        <v>6.4242261289794271</v>
      </c>
      <c r="G19" s="179">
        <f t="shared" si="9"/>
        <v>5.587248300993382</v>
      </c>
      <c r="H19" s="179">
        <f t="shared" si="9"/>
        <v>5.5271889947218567</v>
      </c>
      <c r="I19" s="179">
        <f t="shared" si="9"/>
        <v>5.2544355917465477</v>
      </c>
      <c r="J19" s="179">
        <f t="shared" si="9"/>
        <v>4.8063197756216045</v>
      </c>
      <c r="K19" s="179">
        <f t="shared" ca="1" si="9"/>
        <v>4.3488154228117253</v>
      </c>
      <c r="L19" s="179">
        <f t="shared" ca="1" si="9"/>
        <v>3.8738246041802671</v>
      </c>
      <c r="M19" s="180">
        <f t="shared" ca="1" si="9"/>
        <v>3.4487596413703816</v>
      </c>
      <c r="R19" s="162">
        <v>49</v>
      </c>
      <c r="S19" s="159">
        <f t="shared" ref="S19:S36" ca="1" si="10">$C$21/R19-1</f>
        <v>0.26286354104561394</v>
      </c>
      <c r="T19" s="216">
        <f t="shared" ca="1" si="3"/>
        <v>0.35048472139415193</v>
      </c>
      <c r="U19" s="216">
        <f t="shared" ca="1" si="1"/>
        <v>0.99560783710432399</v>
      </c>
      <c r="V19" s="159">
        <f t="shared" ca="1" si="2"/>
        <v>0.28563668066680425</v>
      </c>
    </row>
    <row r="20" spans="2:22">
      <c r="B20" s="162" t="s">
        <v>225</v>
      </c>
      <c r="C20" s="183">
        <v>36</v>
      </c>
      <c r="E20" s="162" t="s">
        <v>206</v>
      </c>
      <c r="F20" s="181">
        <f t="shared" ref="F20:M20" si="11">$C$11/F9</f>
        <v>28.220322580098056</v>
      </c>
      <c r="G20" s="181">
        <f t="shared" si="11"/>
        <v>26.082600012075581</v>
      </c>
      <c r="H20" s="181">
        <f t="shared" si="11"/>
        <v>26.68421760309106</v>
      </c>
      <c r="I20" s="181">
        <f t="shared" si="11"/>
        <v>19.966193344402292</v>
      </c>
      <c r="J20" s="181">
        <f t="shared" si="11"/>
        <v>17.879085860713968</v>
      </c>
      <c r="K20" s="181">
        <f t="shared" ca="1" si="11"/>
        <v>15.49285025590911</v>
      </c>
      <c r="L20" s="181">
        <f t="shared" ca="1" si="11"/>
        <v>13.336498897887832</v>
      </c>
      <c r="M20" s="182">
        <f t="shared" ca="1" si="11"/>
        <v>11.572661413133439</v>
      </c>
      <c r="R20" s="162">
        <v>48</v>
      </c>
      <c r="S20" s="159">
        <f t="shared" ca="1" si="10"/>
        <v>0.28917319815073084</v>
      </c>
      <c r="T20" s="216">
        <f t="shared" ca="1" si="3"/>
        <v>0.38556426420097445</v>
      </c>
      <c r="U20" s="216">
        <f t="shared" ca="1" si="1"/>
        <v>1.0371830003773308</v>
      </c>
      <c r="V20" s="159">
        <f t="shared" ca="1" si="2"/>
        <v>0.29531251400935399</v>
      </c>
    </row>
    <row r="21" spans="2:22">
      <c r="B21" s="162" t="s">
        <v>226</v>
      </c>
      <c r="C21" s="184">
        <f ca="1">C19*C20</f>
        <v>61.88031351123508</v>
      </c>
      <c r="E21" s="162" t="s">
        <v>207</v>
      </c>
      <c r="F21" s="181">
        <f t="shared" ref="F21:M21" si="12">$C$5/F12</f>
        <v>84.898305084745772</v>
      </c>
      <c r="G21" s="181">
        <f t="shared" si="12"/>
        <v>54.814053685047853</v>
      </c>
      <c r="H21" s="181">
        <f t="shared" si="12"/>
        <v>71.190316292714343</v>
      </c>
      <c r="I21" s="181">
        <f t="shared" si="12"/>
        <v>41.75420707373835</v>
      </c>
      <c r="J21" s="181">
        <f t="shared" si="12"/>
        <v>35.345425839717763</v>
      </c>
      <c r="K21" s="181">
        <f t="shared" ca="1" si="12"/>
        <v>29.14077026569365</v>
      </c>
      <c r="L21" s="181">
        <f t="shared" ca="1" si="12"/>
        <v>24.230385201344813</v>
      </c>
      <c r="M21" s="182">
        <f t="shared" ca="1" si="12"/>
        <v>20.489895438424135</v>
      </c>
      <c r="R21" s="162">
        <v>47</v>
      </c>
      <c r="S21" s="159">
        <f t="shared" ca="1" si="10"/>
        <v>0.31660241513266119</v>
      </c>
      <c r="T21" s="216">
        <f t="shared" ca="1" si="3"/>
        <v>0.4221365535102149</v>
      </c>
      <c r="U21" s="216">
        <f t="shared" ca="1" si="1"/>
        <v>1.0805273195342955</v>
      </c>
      <c r="V21" s="159">
        <f t="shared" ca="1" si="2"/>
        <v>0.30526720520273631</v>
      </c>
    </row>
    <row r="22" spans="2:22" ht="13" thickBot="1">
      <c r="B22" s="162" t="s">
        <v>227</v>
      </c>
      <c r="C22" s="192">
        <f ca="1">C21/C5-1</f>
        <v>0.23538258157786141</v>
      </c>
      <c r="E22" s="149" t="s">
        <v>208</v>
      </c>
      <c r="F22" s="185">
        <f>$C$5/F14</f>
        <v>84.898305084745772</v>
      </c>
      <c r="G22" s="185">
        <f t="shared" ref="G22:L22" si="13">$C$5/G14</f>
        <v>54.814053685047853</v>
      </c>
      <c r="H22" s="185">
        <f t="shared" si="13"/>
        <v>71.190316292714343</v>
      </c>
      <c r="I22" s="185">
        <f t="shared" si="13"/>
        <v>41.75420707373835</v>
      </c>
      <c r="J22" s="185">
        <f t="shared" si="13"/>
        <v>35.778571428571432</v>
      </c>
      <c r="K22" s="185">
        <f t="shared" si="13"/>
        <v>30.357575757575763</v>
      </c>
      <c r="L22" s="185">
        <f t="shared" si="13"/>
        <v>26.502645502645507</v>
      </c>
      <c r="M22" s="212"/>
      <c r="R22" s="162">
        <v>46</v>
      </c>
      <c r="S22" s="159">
        <f t="shared" ca="1" si="10"/>
        <v>0.34522420676598009</v>
      </c>
      <c r="T22" s="216">
        <f t="shared" ca="1" si="3"/>
        <v>0.46029894235464014</v>
      </c>
      <c r="U22" s="216">
        <f t="shared" ca="1" si="1"/>
        <v>1.1257561743067801</v>
      </c>
      <c r="V22" s="159">
        <f t="shared" ca="1" si="2"/>
        <v>0.31551498563492353</v>
      </c>
    </row>
    <row r="23" spans="2:22" ht="13" thickBot="1">
      <c r="B23" s="149" t="s">
        <v>229</v>
      </c>
      <c r="C23" s="175">
        <f ca="1">(C21/C5)^(1/0.75)-1</f>
        <v>0.32556785797204468</v>
      </c>
      <c r="F23" s="181"/>
      <c r="G23" s="181"/>
      <c r="H23" s="181"/>
      <c r="I23" s="181"/>
      <c r="J23" s="181"/>
      <c r="K23" s="181"/>
      <c r="L23" s="181"/>
      <c r="M23" s="196"/>
      <c r="R23" s="162">
        <v>45</v>
      </c>
      <c r="S23" s="159">
        <f t="shared" ca="1" si="10"/>
        <v>0.37511807802744612</v>
      </c>
      <c r="T23" s="216">
        <f t="shared" ca="1" si="3"/>
        <v>0.50015743736992813</v>
      </c>
      <c r="U23" s="216">
        <f t="shared" ca="1" si="1"/>
        <v>1.1729952004024864</v>
      </c>
      <c r="V23" s="159">
        <f t="shared" ca="1" si="2"/>
        <v>0.3260711431003076</v>
      </c>
    </row>
    <row r="24" spans="2:22" ht="13" thickBot="1">
      <c r="R24" s="162">
        <v>44</v>
      </c>
      <c r="S24" s="159">
        <f t="shared" ca="1" si="10"/>
        <v>0.40637076161897911</v>
      </c>
      <c r="T24" s="216">
        <f t="shared" ca="1" si="3"/>
        <v>0.54182768215863886</v>
      </c>
      <c r="U24" s="216">
        <f t="shared" ca="1" si="1"/>
        <v>1.2223814549570879</v>
      </c>
      <c r="V24" s="159">
        <f t="shared" ca="1" si="2"/>
        <v>0.33695212582947143</v>
      </c>
    </row>
    <row r="25" spans="2:22" ht="13.5" thickBot="1">
      <c r="B25" s="332" t="s">
        <v>232</v>
      </c>
      <c r="C25" s="333"/>
      <c r="E25" s="178" t="s">
        <v>209</v>
      </c>
      <c r="F25" s="186">
        <v>2025</v>
      </c>
      <c r="G25" s="186">
        <v>2026</v>
      </c>
      <c r="H25" s="186">
        <v>2027</v>
      </c>
      <c r="I25" s="187">
        <v>2028</v>
      </c>
      <c r="R25" s="162">
        <v>43</v>
      </c>
      <c r="S25" s="159">
        <f t="shared" ca="1" si="10"/>
        <v>0.4390770584008159</v>
      </c>
      <c r="T25" s="216">
        <f t="shared" ca="1" si="3"/>
        <v>0.58543607786775453</v>
      </c>
      <c r="U25" s="216">
        <f t="shared" ca="1" si="1"/>
        <v>1.2740647446072528</v>
      </c>
      <c r="V25" s="159">
        <f t="shared" ca="1" si="2"/>
        <v>0.34817565940206308</v>
      </c>
    </row>
    <row r="26" spans="2:22">
      <c r="B26" s="145" t="s">
        <v>231</v>
      </c>
      <c r="C26" s="166">
        <f ca="1">'AZEK-US'!AC95</f>
        <v>2.4446196004527971</v>
      </c>
      <c r="E26" s="145" t="s">
        <v>210</v>
      </c>
      <c r="F26" s="188">
        <v>39</v>
      </c>
      <c r="G26" s="188">
        <v>41</v>
      </c>
      <c r="H26" s="189">
        <v>43</v>
      </c>
      <c r="I26" s="190">
        <v>43</v>
      </c>
      <c r="R26" s="162">
        <v>42</v>
      </c>
      <c r="S26" s="159">
        <f t="shared" ca="1" si="10"/>
        <v>0.47334079788654959</v>
      </c>
      <c r="T26" s="216">
        <f t="shared" ca="1" si="3"/>
        <v>0.63112106384873279</v>
      </c>
      <c r="U26" s="216">
        <f t="shared" ca="1" si="1"/>
        <v>1.3282091432883782</v>
      </c>
      <c r="V26" s="159">
        <f t="shared" ca="1" si="2"/>
        <v>0.35976087848047045</v>
      </c>
    </row>
    <row r="27" spans="2:22">
      <c r="B27" s="162" t="s">
        <v>225</v>
      </c>
      <c r="C27" s="183">
        <v>40</v>
      </c>
      <c r="E27" s="162" t="s">
        <v>211</v>
      </c>
      <c r="F27">
        <v>37</v>
      </c>
      <c r="G27">
        <v>39</v>
      </c>
      <c r="H27">
        <v>40</v>
      </c>
      <c r="I27" s="183">
        <v>40</v>
      </c>
      <c r="R27" s="162">
        <v>41</v>
      </c>
      <c r="S27" s="159">
        <f t="shared" ca="1" si="10"/>
        <v>0.50927593929841652</v>
      </c>
      <c r="T27" s="216">
        <f t="shared" ca="1" si="3"/>
        <v>0.679034585731222</v>
      </c>
      <c r="U27" s="216">
        <f t="shared" ca="1" si="1"/>
        <v>1.3849947321490701</v>
      </c>
      <c r="V27" s="159">
        <f t="shared" ca="1" si="2"/>
        <v>0.37172847564741751</v>
      </c>
    </row>
    <row r="28" spans="2:22" ht="13" thickBot="1">
      <c r="B28" s="162" t="s">
        <v>226</v>
      </c>
      <c r="C28" s="184">
        <f ca="1">C26*C27</f>
        <v>97.784784018111878</v>
      </c>
      <c r="E28" s="149" t="s">
        <v>212</v>
      </c>
      <c r="F28" s="73">
        <v>30</v>
      </c>
      <c r="G28" s="73">
        <v>30</v>
      </c>
      <c r="H28" s="73">
        <v>30</v>
      </c>
      <c r="I28" s="191">
        <v>30</v>
      </c>
      <c r="R28" s="162">
        <v>40</v>
      </c>
      <c r="S28" s="159">
        <f t="shared" ca="1" si="10"/>
        <v>0.54700783778087692</v>
      </c>
      <c r="T28" s="216">
        <f t="shared" ca="1" si="3"/>
        <v>0.72934378370783592</v>
      </c>
      <c r="U28" s="216">
        <f t="shared" ca="1" si="1"/>
        <v>1.4446196004527971</v>
      </c>
      <c r="V28" s="159">
        <f t="shared" ca="1" si="2"/>
        <v>0.384100870047688</v>
      </c>
    </row>
    <row r="29" spans="2:22">
      <c r="B29" s="162" t="s">
        <v>227</v>
      </c>
      <c r="C29" s="192">
        <f ca="1">C28/C5-1</f>
        <v>0.95218175320646581</v>
      </c>
      <c r="R29" s="162">
        <v>39</v>
      </c>
      <c r="S29" s="159">
        <f t="shared" ca="1" si="10"/>
        <v>0.58667470541628419</v>
      </c>
      <c r="T29" s="216">
        <f t="shared" ca="1" si="3"/>
        <v>0.78223294055504555</v>
      </c>
      <c r="U29" s="216">
        <f t="shared" ca="1" si="1"/>
        <v>1.5073021543105609</v>
      </c>
      <c r="V29" s="159">
        <f t="shared" ca="1" si="2"/>
        <v>0.39690239904001778</v>
      </c>
    </row>
    <row r="30" spans="2:22" ht="13" thickBot="1">
      <c r="B30" s="149" t="s">
        <v>229</v>
      </c>
      <c r="C30" s="175">
        <f ca="1">(C28/C5)^(1/2.75)-1</f>
        <v>0.2753921129312038</v>
      </c>
      <c r="R30" s="162">
        <v>38</v>
      </c>
      <c r="S30" s="159">
        <f t="shared" ca="1" si="10"/>
        <v>0.62842930292723898</v>
      </c>
      <c r="T30" s="216">
        <f t="shared" ca="1" si="3"/>
        <v>0.83790573723631867</v>
      </c>
      <c r="U30" s="216">
        <f t="shared" ca="1" si="1"/>
        <v>1.5732837899503127</v>
      </c>
      <c r="V30" s="159">
        <f t="shared" ca="1" si="2"/>
        <v>0.41015953668147898</v>
      </c>
    </row>
    <row r="31" spans="2:22" ht="13.5" thickBot="1">
      <c r="E31" s="306" t="s">
        <v>398</v>
      </c>
      <c r="F31" s="303">
        <f ca="1">C22</f>
        <v>0.23538258157786141</v>
      </c>
      <c r="G31" s="303">
        <f>C36</f>
        <v>-0.13755240566979454</v>
      </c>
      <c r="R31" s="162">
        <v>37</v>
      </c>
      <c r="S31" s="159">
        <f t="shared" ca="1" si="10"/>
        <v>0.67244090570905612</v>
      </c>
      <c r="T31" s="216">
        <f t="shared" ca="1" si="3"/>
        <v>0.89658787427874154</v>
      </c>
      <c r="U31" s="216">
        <f t="shared" ca="1" si="1"/>
        <v>1.6428320004895101</v>
      </c>
      <c r="V31" s="159">
        <f t="shared" ca="1" si="2"/>
        <v>0.42390114362111597</v>
      </c>
    </row>
    <row r="32" spans="2:22" ht="13.5" thickBot="1">
      <c r="B32" s="327" t="s">
        <v>235</v>
      </c>
      <c r="C32" s="328"/>
      <c r="E32" s="305">
        <f ca="1">F31/-G31</f>
        <v>1.7112211191923168</v>
      </c>
      <c r="R32" s="162">
        <v>36</v>
      </c>
      <c r="S32" s="159">
        <f t="shared" ca="1" si="10"/>
        <v>0.71889759753430771</v>
      </c>
      <c r="T32" s="216">
        <f t="shared" ca="1" si="3"/>
        <v>0.95853013004574361</v>
      </c>
      <c r="U32" s="216">
        <f t="shared" ca="1" si="1"/>
        <v>1.7162440005031079</v>
      </c>
      <c r="V32" s="159">
        <f t="shared" ca="1" si="2"/>
        <v>0.43815875390783821</v>
      </c>
    </row>
    <row r="33" spans="2:22">
      <c r="B33" s="145" t="s">
        <v>228</v>
      </c>
      <c r="C33" s="166">
        <v>1.44</v>
      </c>
      <c r="E33" s="304"/>
      <c r="R33" s="162">
        <v>35</v>
      </c>
      <c r="S33" s="159">
        <f t="shared" ca="1" si="10"/>
        <v>0.76800895746385933</v>
      </c>
      <c r="T33" s="216">
        <f t="shared" ca="1" si="3"/>
        <v>1.0240119432851458</v>
      </c>
      <c r="U33" s="216">
        <f t="shared" ca="1" si="1"/>
        <v>1.7938509719460538</v>
      </c>
      <c r="V33" s="159">
        <f t="shared" ca="1" si="2"/>
        <v>0.45296690536569351</v>
      </c>
    </row>
    <row r="34" spans="2:22">
      <c r="B34" s="162" t="s">
        <v>225</v>
      </c>
      <c r="C34" s="183">
        <v>30</v>
      </c>
      <c r="R34" s="162">
        <v>34</v>
      </c>
      <c r="S34" s="159">
        <f t="shared" ca="1" si="10"/>
        <v>0.82000922091867889</v>
      </c>
      <c r="T34" s="216">
        <f t="shared" ca="1" si="3"/>
        <v>1.0933456278915719</v>
      </c>
      <c r="U34" s="216">
        <f t="shared" ca="1" si="1"/>
        <v>1.8760230593562319</v>
      </c>
      <c r="V34" s="159">
        <f t="shared" ca="1" si="2"/>
        <v>0.46836352161771178</v>
      </c>
    </row>
    <row r="35" spans="2:22">
      <c r="B35" s="162" t="s">
        <v>226</v>
      </c>
      <c r="C35" s="184">
        <f>C33*C34</f>
        <v>43.199999999999996</v>
      </c>
      <c r="R35" s="162">
        <v>33</v>
      </c>
      <c r="S35" s="159">
        <f t="shared" ca="1" si="10"/>
        <v>0.87516101549197223</v>
      </c>
      <c r="T35" s="216">
        <f t="shared" ca="1" si="3"/>
        <v>1.1668813539892964</v>
      </c>
      <c r="U35" s="216">
        <f t="shared" ca="1" si="1"/>
        <v>1.9631752732761174</v>
      </c>
      <c r="V35" s="159">
        <f t="shared" ca="1" si="2"/>
        <v>0.4843903556261504</v>
      </c>
    </row>
    <row r="36" spans="2:22" ht="13" thickBot="1">
      <c r="B36" s="149" t="s">
        <v>227</v>
      </c>
      <c r="C36" s="175">
        <f>C35/C5-1</f>
        <v>-0.13755240566979454</v>
      </c>
      <c r="R36" s="149">
        <v>32</v>
      </c>
      <c r="S36" s="193">
        <f t="shared" ca="1" si="10"/>
        <v>0.93375979722609626</v>
      </c>
      <c r="T36" s="217">
        <f t="shared" ca="1" si="3"/>
        <v>1.2450130629681284</v>
      </c>
      <c r="U36" s="217">
        <f t="shared" ca="1" si="1"/>
        <v>2.0557745005659962</v>
      </c>
      <c r="V36" s="193">
        <f t="shared" ca="1" si="2"/>
        <v>0.5010935068662199</v>
      </c>
    </row>
    <row r="37" spans="2:22" ht="13" thickBot="1"/>
    <row r="38" spans="2:22" ht="13.5" thickBot="1">
      <c r="B38" s="327" t="s">
        <v>397</v>
      </c>
      <c r="C38" s="328"/>
    </row>
    <row r="39" spans="2:22">
      <c r="B39" s="145" t="s">
        <v>231</v>
      </c>
      <c r="C39" s="166">
        <v>1.56</v>
      </c>
    </row>
    <row r="40" spans="2:22">
      <c r="B40" s="162" t="s">
        <v>225</v>
      </c>
      <c r="C40" s="183">
        <v>30</v>
      </c>
    </row>
    <row r="41" spans="2:22">
      <c r="B41" s="162" t="s">
        <v>226</v>
      </c>
      <c r="C41" s="184">
        <f>C39*C40</f>
        <v>46.800000000000004</v>
      </c>
    </row>
    <row r="42" spans="2:22" ht="13" thickBot="1">
      <c r="B42" s="149" t="s">
        <v>227</v>
      </c>
      <c r="C42" s="175">
        <f>C41/C5-1</f>
        <v>-6.5681772808943828E-2</v>
      </c>
    </row>
  </sheetData>
  <mergeCells count="7">
    <mergeCell ref="B38:C38"/>
    <mergeCell ref="E2:M2"/>
    <mergeCell ref="B4:C4"/>
    <mergeCell ref="B13:C13"/>
    <mergeCell ref="B18:C18"/>
    <mergeCell ref="B25:C25"/>
    <mergeCell ref="B32:C32"/>
  </mergeCells>
  <phoneticPr fontId="8" type="noConversion"/>
  <conditionalFormatting sqref="S3:S36">
    <cfRule type="colorScale" priority="12">
      <colorScale>
        <cfvo type="min"/>
        <cfvo type="percentile" val="50"/>
        <cfvo type="max"/>
        <color rgb="FFF8696B"/>
        <color rgb="FFFCFCFF"/>
        <color rgb="FF63BE7B"/>
      </colorScale>
    </cfRule>
  </conditionalFormatting>
  <conditionalFormatting sqref="T3:T36">
    <cfRule type="colorScale" priority="14">
      <colorScale>
        <cfvo type="min"/>
        <cfvo type="percentile" val="50"/>
        <cfvo type="max"/>
        <color rgb="FFF8696B"/>
        <color rgb="FFFCFCFF"/>
        <color rgb="FF63BE7B"/>
      </colorScale>
    </cfRule>
  </conditionalFormatting>
  <conditionalFormatting sqref="U3:U36">
    <cfRule type="colorScale" priority="16">
      <colorScale>
        <cfvo type="min"/>
        <cfvo type="percentile" val="50"/>
        <cfvo type="max"/>
        <color rgb="FFF8696B"/>
        <color rgb="FFFCFCFF"/>
        <color rgb="FF63BE7B"/>
      </colorScale>
    </cfRule>
  </conditionalFormatting>
  <conditionalFormatting sqref="V3:V36">
    <cfRule type="colorScale" priority="18">
      <colorScale>
        <cfvo type="min"/>
        <cfvo type="percentile" val="50"/>
        <cfvo type="max"/>
        <color rgb="FFF8696B"/>
        <color rgb="FFFCFCFF"/>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5422-CFBF-42E4-B618-5CE156A276F4}">
  <sheetPr>
    <outlinePr summaryBelow="0" summaryRight="0"/>
  </sheetPr>
  <dimension ref="A1:AF240"/>
  <sheetViews>
    <sheetView showGridLines="0" topLeftCell="A206" workbookViewId="0">
      <pane xSplit="1" topLeftCell="N1" activePane="topRight" state="frozen"/>
      <selection activeCell="C29" sqref="C29"/>
      <selection pane="topRight" activeCell="D79" sqref="D79"/>
    </sheetView>
  </sheetViews>
  <sheetFormatPr defaultColWidth="9.1796875" defaultRowHeight="15" customHeight="1" outlineLevelRow="1"/>
  <cols>
    <col min="1" max="1" width="45.90625" customWidth="1"/>
    <col min="2" max="6" width="10.6328125" customWidth="1"/>
    <col min="7" max="10" width="10.6328125" style="24" customWidth="1"/>
    <col min="11" max="11" width="10.6328125" customWidth="1"/>
    <col min="12" max="15" width="10.6328125" style="24" customWidth="1"/>
    <col min="16" max="16" width="10.6328125" customWidth="1"/>
    <col min="17" max="20" width="10.6328125" style="24" customWidth="1"/>
    <col min="21" max="21" width="10.6328125" customWidth="1"/>
    <col min="22" max="22" width="10.6328125" style="24" customWidth="1"/>
    <col min="23" max="25" width="10.6328125" style="110" customWidth="1"/>
    <col min="26" max="29" width="10.6328125" style="103" customWidth="1"/>
  </cols>
  <sheetData>
    <row r="1" spans="1:29" ht="15" customHeight="1">
      <c r="A1" s="3"/>
      <c r="B1" s="4" t="s">
        <v>7</v>
      </c>
      <c r="C1" s="4" t="s">
        <v>6</v>
      </c>
      <c r="D1" s="4" t="s">
        <v>5</v>
      </c>
      <c r="E1" s="4" t="s">
        <v>4</v>
      </c>
      <c r="F1" s="4" t="s">
        <v>3</v>
      </c>
      <c r="G1" s="25" t="s">
        <v>35</v>
      </c>
      <c r="H1" s="25" t="s">
        <v>36</v>
      </c>
      <c r="I1" s="25" t="s">
        <v>37</v>
      </c>
      <c r="J1" s="25" t="s">
        <v>38</v>
      </c>
      <c r="K1" s="4" t="s">
        <v>2</v>
      </c>
      <c r="L1" s="25" t="s">
        <v>39</v>
      </c>
      <c r="M1" s="25" t="s">
        <v>40</v>
      </c>
      <c r="N1" s="25" t="s">
        <v>41</v>
      </c>
      <c r="O1" s="25" t="s">
        <v>42</v>
      </c>
      <c r="P1" s="4" t="s">
        <v>1</v>
      </c>
      <c r="Q1" s="25" t="s">
        <v>43</v>
      </c>
      <c r="R1" s="25" t="s">
        <v>44</v>
      </c>
      <c r="S1" s="25" t="s">
        <v>45</v>
      </c>
      <c r="T1" s="25" t="s">
        <v>46</v>
      </c>
      <c r="U1" s="4" t="s">
        <v>0</v>
      </c>
      <c r="V1" s="307" t="s">
        <v>176</v>
      </c>
      <c r="W1" s="94" t="s">
        <v>177</v>
      </c>
      <c r="X1" s="94" t="s">
        <v>178</v>
      </c>
      <c r="Y1" s="94" t="s">
        <v>179</v>
      </c>
      <c r="Z1" s="95" t="s">
        <v>180</v>
      </c>
      <c r="AA1" s="95" t="s">
        <v>181</v>
      </c>
      <c r="AB1" s="95" t="s">
        <v>182</v>
      </c>
      <c r="AC1" s="95" t="s">
        <v>183</v>
      </c>
    </row>
    <row r="2" spans="1:29" s="6" customFormat="1" ht="15" customHeight="1" thickBot="1">
      <c r="A2" s="5" t="s">
        <v>18</v>
      </c>
      <c r="B2" s="5"/>
      <c r="C2" s="5"/>
      <c r="D2" s="5"/>
      <c r="E2" s="5"/>
      <c r="F2" s="5"/>
      <c r="G2" s="5"/>
      <c r="H2" s="5"/>
      <c r="I2" s="5"/>
      <c r="J2" s="5"/>
      <c r="K2" s="5"/>
      <c r="L2" s="5"/>
      <c r="M2" s="5"/>
      <c r="N2" s="5"/>
      <c r="O2" s="5"/>
      <c r="P2" s="5"/>
      <c r="Q2" s="5"/>
      <c r="R2" s="5"/>
      <c r="S2" s="5"/>
      <c r="T2" s="5"/>
      <c r="U2" s="5"/>
      <c r="W2" s="96"/>
      <c r="X2" s="96"/>
      <c r="Y2" s="96"/>
      <c r="Z2" s="96"/>
      <c r="AA2" s="96"/>
      <c r="AB2" s="96"/>
      <c r="AC2" s="96"/>
    </row>
    <row r="3" spans="1:29" s="73" customFormat="1" ht="5" customHeight="1" thickBot="1">
      <c r="A3" s="88"/>
      <c r="B3" s="88"/>
      <c r="C3" s="88"/>
      <c r="D3" s="88"/>
      <c r="E3" s="88"/>
      <c r="F3" s="88"/>
      <c r="G3" s="89"/>
      <c r="H3" s="89"/>
      <c r="I3" s="89"/>
      <c r="J3" s="89"/>
      <c r="K3" s="88"/>
      <c r="L3" s="89"/>
      <c r="M3" s="89"/>
      <c r="N3" s="89"/>
      <c r="O3" s="89"/>
      <c r="P3" s="88"/>
      <c r="Q3" s="89"/>
      <c r="R3" s="89"/>
      <c r="S3" s="89"/>
      <c r="T3" s="89"/>
      <c r="U3" s="88"/>
      <c r="V3" s="308"/>
      <c r="W3" s="97"/>
      <c r="X3" s="97"/>
      <c r="Y3" s="97"/>
      <c r="Z3" s="98"/>
      <c r="AA3" s="98"/>
      <c r="AB3" s="98"/>
      <c r="AC3" s="98"/>
    </row>
    <row r="4" spans="1:29" s="9" customFormat="1" ht="15" customHeight="1" thickBot="1">
      <c r="A4" s="7" t="s">
        <v>8</v>
      </c>
      <c r="B4" s="26">
        <v>632.63098100000002</v>
      </c>
      <c r="C4" s="26">
        <v>681.80499299999997</v>
      </c>
      <c r="D4" s="26">
        <v>794.20300299999997</v>
      </c>
      <c r="E4" s="26">
        <v>899.25897199999997</v>
      </c>
      <c r="F4" s="26">
        <v>1178.973999</v>
      </c>
      <c r="G4" s="27">
        <v>259.70800800000001</v>
      </c>
      <c r="H4" s="27">
        <v>396.25500499999998</v>
      </c>
      <c r="I4" s="27">
        <v>394.99099699999999</v>
      </c>
      <c r="J4" s="27">
        <v>304.63198899999998</v>
      </c>
      <c r="K4" s="26">
        <f>SUM(G4:J4)</f>
        <v>1355.5859989999999</v>
      </c>
      <c r="L4" s="27">
        <v>216.25900300000001</v>
      </c>
      <c r="M4" s="27">
        <v>377.69198599999999</v>
      </c>
      <c r="N4" s="27">
        <v>387.55300899999997</v>
      </c>
      <c r="O4" s="27">
        <v>388.81201199999998</v>
      </c>
      <c r="P4" s="26">
        <f>SUM(L4:O4)</f>
        <v>1370.31601</v>
      </c>
      <c r="Q4" s="27">
        <v>240.44399999999999</v>
      </c>
      <c r="R4" s="27">
        <v>418.40798999999998</v>
      </c>
      <c r="S4" s="27">
        <f>S6+S14</f>
        <v>434.36900000000003</v>
      </c>
      <c r="T4" s="27">
        <f>T6+T14</f>
        <v>348.22699</v>
      </c>
      <c r="U4" s="26">
        <f>SUM(Q4:T4)</f>
        <v>1441.4479799999999</v>
      </c>
      <c r="V4" s="309">
        <f>V6+V14</f>
        <v>285.42900000000003</v>
      </c>
      <c r="W4" s="99">
        <f>W6+W14</f>
        <v>455.45260999999999</v>
      </c>
      <c r="X4" s="99">
        <v>425.85603000000003</v>
      </c>
      <c r="Y4" s="99">
        <v>409.10332010000002</v>
      </c>
      <c r="Z4" s="136">
        <f>SUM(V4:Y4)</f>
        <v>1575.8409601000001</v>
      </c>
      <c r="AA4" s="138">
        <f ca="1">AA6+AA14</f>
        <v>1741.6226796000003</v>
      </c>
      <c r="AB4" s="138">
        <f t="shared" ref="AB4:AC4" ca="1" si="0">AB6+AB14</f>
        <v>1955.1725603658003</v>
      </c>
      <c r="AC4" s="138">
        <f t="shared" ca="1" si="0"/>
        <v>2196.150604091853</v>
      </c>
    </row>
    <row r="5" spans="1:29" s="32" customFormat="1" ht="15" customHeight="1">
      <c r="A5" s="30" t="s">
        <v>20</v>
      </c>
      <c r="B5" s="29"/>
      <c r="C5" s="13">
        <f>C4/B4-1</f>
        <v>7.7729376962017538E-2</v>
      </c>
      <c r="D5" s="13">
        <f t="shared" ref="D5:F5" si="1">D4/C4-1</f>
        <v>0.16485360352883194</v>
      </c>
      <c r="E5" s="13">
        <f t="shared" si="1"/>
        <v>0.13227848371658713</v>
      </c>
      <c r="F5" s="13">
        <f t="shared" si="1"/>
        <v>0.31105058243444472</v>
      </c>
      <c r="G5" s="31">
        <v>0.22343345989692764</v>
      </c>
      <c r="H5" s="31">
        <v>0.35184787953201657</v>
      </c>
      <c r="I5" s="31">
        <v>0.20624877062888936</v>
      </c>
      <c r="J5" s="31">
        <v>-0.11986596151430096</v>
      </c>
      <c r="K5" s="13">
        <f>K4/F4-1</f>
        <v>0.14980143764815956</v>
      </c>
      <c r="L5" s="31">
        <v>-0.16729944268795904</v>
      </c>
      <c r="M5" s="31">
        <v>-4.684614393703368E-2</v>
      </c>
      <c r="N5" s="31">
        <v>-1.8830778565821382E-2</v>
      </c>
      <c r="O5" s="31">
        <v>0.27633349759601256</v>
      </c>
      <c r="P5" s="13">
        <f>P4/K4-1</f>
        <v>1.0866157522183117E-2</v>
      </c>
      <c r="Q5" s="31">
        <v>0.11183348052335185</v>
      </c>
      <c r="R5" s="31">
        <v>0.10780213906895031</v>
      </c>
      <c r="S5" s="31">
        <v>0.12079890469899568</v>
      </c>
      <c r="T5" s="31">
        <v>-0.10438211975817246</v>
      </c>
      <c r="U5" s="13">
        <f>U4/P4-1</f>
        <v>5.1909172395935066E-2</v>
      </c>
      <c r="V5" s="79">
        <f>V4/Q4-1</f>
        <v>0.18709138094525146</v>
      </c>
      <c r="W5" s="101">
        <f>W4/R4-1</f>
        <v>8.8537075976966806E-2</v>
      </c>
      <c r="X5" s="101">
        <v>6.6322198267767307E-2</v>
      </c>
      <c r="Y5" s="101">
        <v>6.7522201659126369E-2</v>
      </c>
      <c r="Z5" s="106">
        <f>Z4/U4-1</f>
        <v>9.3234707020089624E-2</v>
      </c>
      <c r="AA5" s="106">
        <f ca="1">AA4/Z4-1</f>
        <v>0.10520206270655641</v>
      </c>
      <c r="AB5" s="106">
        <f t="shared" ref="AB5:AC5" ca="1" si="2">AB4/AA4-1</f>
        <v>0.12261546847497762</v>
      </c>
      <c r="AC5" s="106">
        <f t="shared" ca="1" si="2"/>
        <v>0.12325154751607559</v>
      </c>
    </row>
    <row r="6" spans="1:29" s="11" customFormat="1" ht="15" customHeight="1">
      <c r="A6" s="3" t="s">
        <v>19</v>
      </c>
      <c r="B6" s="14"/>
      <c r="C6" s="14">
        <v>541.94200000000001</v>
      </c>
      <c r="D6" s="14">
        <v>655.44500000000005</v>
      </c>
      <c r="E6" s="14">
        <v>771.16700000000003</v>
      </c>
      <c r="F6" s="14">
        <v>1044.126</v>
      </c>
      <c r="G6" s="21">
        <v>221.13300000000001</v>
      </c>
      <c r="H6" s="21">
        <v>350.358</v>
      </c>
      <c r="I6" s="21">
        <v>343.06400000000002</v>
      </c>
      <c r="J6" s="21">
        <v>254.196</v>
      </c>
      <c r="K6" s="14">
        <f>SUM(G6:J6)</f>
        <v>1168.751</v>
      </c>
      <c r="L6" s="21">
        <v>179.48400000000001</v>
      </c>
      <c r="M6" s="21">
        <v>342.11599999999999</v>
      </c>
      <c r="N6" s="21">
        <v>351.608</v>
      </c>
      <c r="O6" s="21">
        <v>349.65800000000002</v>
      </c>
      <c r="P6" s="14">
        <f>SUM(L6:O6)</f>
        <v>1222.866</v>
      </c>
      <c r="Q6" s="21">
        <v>223</v>
      </c>
      <c r="R6" s="21">
        <v>402.541</v>
      </c>
      <c r="S6" s="21">
        <f>416.009</f>
        <v>416.00900000000001</v>
      </c>
      <c r="T6" s="21">
        <f>327.3</f>
        <v>327.3</v>
      </c>
      <c r="U6" s="28">
        <v>1368.8130000000001</v>
      </c>
      <c r="V6" s="76">
        <v>271.99900000000002</v>
      </c>
      <c r="W6" s="102">
        <f>R6*(1+W10)+5</f>
        <v>439.74428</v>
      </c>
      <c r="X6" s="102">
        <v>407.67963000000003</v>
      </c>
      <c r="Y6" s="102">
        <v>388.38560000000001</v>
      </c>
      <c r="Z6" s="104">
        <f>SUM(V6:Y6)</f>
        <v>1507.8085100000001</v>
      </c>
      <c r="AA6" s="104">
        <f ca="1">Z6*(1+AA7)</f>
        <v>1673.6674461000002</v>
      </c>
      <c r="AB6" s="104">
        <f t="shared" ref="AB6:AC6" ca="1" si="3">AA6*(1+AB7)</f>
        <v>1887.8968792008004</v>
      </c>
      <c r="AC6" s="104">
        <f t="shared" ca="1" si="3"/>
        <v>2129.5476797385031</v>
      </c>
    </row>
    <row r="7" spans="1:29" s="11" customFormat="1" ht="15" customHeight="1">
      <c r="A7" s="3"/>
      <c r="B7" s="14"/>
      <c r="C7" s="14"/>
      <c r="D7" s="14"/>
      <c r="E7" s="14"/>
      <c r="F7" s="14"/>
      <c r="G7" s="21"/>
      <c r="H7" s="21"/>
      <c r="I7" s="21"/>
      <c r="J7" s="21"/>
      <c r="K7" s="14"/>
      <c r="L7" s="21"/>
      <c r="M7" s="21"/>
      <c r="N7" s="21"/>
      <c r="O7" s="21"/>
      <c r="P7" s="14"/>
      <c r="Q7" s="21"/>
      <c r="R7" s="21"/>
      <c r="S7" s="21"/>
      <c r="T7" s="21"/>
      <c r="U7" s="28"/>
      <c r="V7" s="76"/>
      <c r="W7" s="102"/>
      <c r="X7" s="102"/>
      <c r="Y7" s="102"/>
      <c r="Z7" s="106">
        <f ca="1">OFFSET(Z8,Summary!$C$14,0)</f>
        <v>0.1015445572185536</v>
      </c>
      <c r="AA7" s="106">
        <f ca="1">OFFSET(AA8,Summary!$C$14,0)</f>
        <v>0.11</v>
      </c>
      <c r="AB7" s="106">
        <f ca="1">OFFSET(AB8,Summary!$C$14,0)</f>
        <v>0.128</v>
      </c>
      <c r="AC7" s="106">
        <f ca="1">OFFSET(AC8,Summary!$C$14,0)</f>
        <v>0.128</v>
      </c>
    </row>
    <row r="8" spans="1:29" s="11" customFormat="1" ht="15" customHeight="1">
      <c r="A8" s="3"/>
      <c r="B8" s="14"/>
      <c r="C8" s="14"/>
      <c r="D8" s="14"/>
      <c r="E8" s="14"/>
      <c r="F8" s="14"/>
      <c r="G8" s="21"/>
      <c r="H8" s="21"/>
      <c r="I8" s="21"/>
      <c r="J8" s="21"/>
      <c r="K8" s="14"/>
      <c r="L8" s="21"/>
      <c r="M8" s="21"/>
      <c r="N8" s="21"/>
      <c r="O8" s="21"/>
      <c r="P8" s="14"/>
      <c r="Q8" s="21"/>
      <c r="R8" s="21"/>
      <c r="S8" s="21"/>
      <c r="T8" s="21"/>
      <c r="U8" s="28"/>
      <c r="V8" s="76"/>
      <c r="W8" s="102"/>
      <c r="X8" s="102"/>
      <c r="Y8" s="102"/>
      <c r="Z8" s="104"/>
      <c r="AA8" s="106"/>
      <c r="AB8" s="106"/>
      <c r="AC8" s="106"/>
    </row>
    <row r="9" spans="1:29" s="11" customFormat="1" ht="15" customHeight="1">
      <c r="A9" s="3"/>
      <c r="B9" s="14"/>
      <c r="C9" s="14"/>
      <c r="D9" s="14"/>
      <c r="E9" s="14"/>
      <c r="F9" s="14"/>
      <c r="G9" s="21"/>
      <c r="H9" s="21"/>
      <c r="I9" s="21"/>
      <c r="J9" s="21"/>
      <c r="K9" s="14"/>
      <c r="L9" s="21"/>
      <c r="M9" s="21"/>
      <c r="N9" s="21"/>
      <c r="O9" s="21"/>
      <c r="P9" s="14"/>
      <c r="Q9" s="21"/>
      <c r="R9" s="21"/>
      <c r="S9" s="21"/>
      <c r="T9" s="21"/>
      <c r="U9" s="28"/>
      <c r="V9" s="76"/>
      <c r="W9" s="102"/>
      <c r="X9" s="102"/>
      <c r="Y9" s="102"/>
      <c r="Z9" s="106">
        <v>0.12</v>
      </c>
      <c r="AA9" s="106">
        <v>0.125</v>
      </c>
      <c r="AB9" s="106">
        <v>0.14000000000000001</v>
      </c>
      <c r="AC9" s="106">
        <v>0.14000000000000001</v>
      </c>
    </row>
    <row r="10" spans="1:29" s="11" customFormat="1" ht="15" customHeight="1">
      <c r="A10" s="3" t="s">
        <v>20</v>
      </c>
      <c r="B10" s="14"/>
      <c r="C10" s="14"/>
      <c r="D10" s="29">
        <f>D6/C6-1</f>
        <v>0.209437541286706</v>
      </c>
      <c r="E10" s="29">
        <f t="shared" ref="E10:F10" si="4">E6/D6-1</f>
        <v>0.17655485967548756</v>
      </c>
      <c r="F10" s="29">
        <f t="shared" si="4"/>
        <v>0.35395575796163459</v>
      </c>
      <c r="G10" s="20">
        <v>0.19119263089851346</v>
      </c>
      <c r="H10" s="20">
        <v>0.33623444877535302</v>
      </c>
      <c r="I10" s="20">
        <v>0.17806798553616132</v>
      </c>
      <c r="J10" s="20">
        <v>-0.16678357665908383</v>
      </c>
      <c r="K10" s="13">
        <f>K6/F6-1</f>
        <v>0.11935820006397702</v>
      </c>
      <c r="L10" s="20">
        <v>-0.18834366648125789</v>
      </c>
      <c r="M10" s="20">
        <v>-2.3524509216287348E-2</v>
      </c>
      <c r="N10" s="20">
        <v>2.4904973999020585E-2</v>
      </c>
      <c r="O10" s="20">
        <f>O6/J6-1</f>
        <v>0.37554485515114333</v>
      </c>
      <c r="P10" s="13">
        <f>P6/K6-1</f>
        <v>4.6301564661762828E-2</v>
      </c>
      <c r="Q10" s="20">
        <v>0.24245058055314117</v>
      </c>
      <c r="R10" s="20">
        <v>0.17662137988284687</v>
      </c>
      <c r="S10" s="20">
        <f>S6/N6-1</f>
        <v>0.18316136151623397</v>
      </c>
      <c r="T10" s="20">
        <f>T6/O6-1</f>
        <v>-6.3942480938517066E-2</v>
      </c>
      <c r="U10" s="13">
        <f>U6/P6-1</f>
        <v>0.11934831780424027</v>
      </c>
      <c r="V10" s="79">
        <f>V6/Q6-1</f>
        <v>0.21972645739910335</v>
      </c>
      <c r="W10" s="101">
        <v>0.08</v>
      </c>
      <c r="X10" s="101">
        <v>7.0000000000000007E-2</v>
      </c>
      <c r="Y10" s="101">
        <v>7.1999999999999995E-2</v>
      </c>
      <c r="Z10" s="106">
        <f>Z6/U6-1</f>
        <v>0.1015445572185536</v>
      </c>
      <c r="AA10" s="137">
        <f>9.5%+1.5%</f>
        <v>0.11</v>
      </c>
      <c r="AB10" s="137">
        <f>11%+1.8%</f>
        <v>0.128</v>
      </c>
      <c r="AC10" s="137">
        <f>11%+1.8%</f>
        <v>0.128</v>
      </c>
    </row>
    <row r="11" spans="1:29" s="11" customFormat="1" ht="15" hidden="1" customHeight="1">
      <c r="A11" s="3" t="s">
        <v>48</v>
      </c>
      <c r="B11" s="14"/>
      <c r="C11" s="14">
        <v>139.863</v>
      </c>
      <c r="D11" s="14">
        <v>138.75800000000001</v>
      </c>
      <c r="E11" s="14">
        <v>128.09200000000001</v>
      </c>
      <c r="F11" s="14">
        <f>F4-F6</f>
        <v>134.84799900000007</v>
      </c>
      <c r="G11" s="21">
        <v>38.575000000000003</v>
      </c>
      <c r="H11" s="21">
        <v>45.896999999999998</v>
      </c>
      <c r="I11" s="21">
        <v>51.927</v>
      </c>
      <c r="J11" s="21">
        <v>50.436</v>
      </c>
      <c r="K11" s="14">
        <f>SUM(G11:J11)</f>
        <v>186.83500000000001</v>
      </c>
      <c r="L11" s="21">
        <v>36.774999999999999</v>
      </c>
      <c r="M11" s="21">
        <v>35.576000000000001</v>
      </c>
      <c r="N11" s="21">
        <v>35.945</v>
      </c>
      <c r="O11" s="21">
        <v>39.154000000000003</v>
      </c>
      <c r="P11" s="14">
        <f>SUM(L11:O11)</f>
        <v>147.44999999999999</v>
      </c>
      <c r="Q11" s="21">
        <v>17.443999999999999</v>
      </c>
      <c r="R11" s="21">
        <v>15.867000000000001</v>
      </c>
      <c r="S11" s="21">
        <v>18.36</v>
      </c>
      <c r="T11" s="21">
        <v>20.926989999999989</v>
      </c>
      <c r="U11" s="14">
        <v>72.635000000000005</v>
      </c>
      <c r="V11" s="76"/>
      <c r="W11" s="102"/>
      <c r="X11" s="102"/>
      <c r="Y11" s="102"/>
      <c r="Z11" s="103"/>
      <c r="AA11" s="103"/>
      <c r="AB11" s="103"/>
      <c r="AC11" s="103"/>
    </row>
    <row r="12" spans="1:29" s="11" customFormat="1" ht="15" customHeight="1">
      <c r="A12" s="3" t="s">
        <v>395</v>
      </c>
      <c r="B12" s="14"/>
      <c r="C12" s="14"/>
      <c r="D12" s="14"/>
      <c r="E12" s="14"/>
      <c r="F12" s="14"/>
      <c r="G12" s="21"/>
      <c r="H12" s="21"/>
      <c r="I12" s="21"/>
      <c r="J12" s="21"/>
      <c r="K12" s="14"/>
      <c r="L12" s="21"/>
      <c r="M12" s="21"/>
      <c r="N12" s="21"/>
      <c r="O12" s="21"/>
      <c r="P12" s="14"/>
      <c r="Q12" s="21"/>
      <c r="R12" s="21"/>
      <c r="S12" s="21"/>
      <c r="T12" s="21"/>
      <c r="U12" s="14"/>
      <c r="V12" s="76"/>
      <c r="W12" s="102"/>
      <c r="X12" s="102"/>
      <c r="Y12" s="102"/>
      <c r="Z12" s="137">
        <v>0.08</v>
      </c>
      <c r="AA12" s="137">
        <v>0.06</v>
      </c>
      <c r="AB12" s="137">
        <v>0.06</v>
      </c>
      <c r="AC12" s="137">
        <v>0.06</v>
      </c>
    </row>
    <row r="13" spans="1:29" s="11" customFormat="1" ht="15" customHeight="1">
      <c r="A13" s="3"/>
      <c r="B13" s="14"/>
      <c r="C13" s="14"/>
      <c r="D13" s="14"/>
      <c r="E13" s="14"/>
      <c r="F13" s="14"/>
      <c r="G13" s="21"/>
      <c r="H13" s="21"/>
      <c r="I13" s="21"/>
      <c r="J13" s="21"/>
      <c r="K13" s="14"/>
      <c r="L13" s="21"/>
      <c r="M13" s="21"/>
      <c r="N13" s="21"/>
      <c r="O13" s="21"/>
      <c r="P13" s="14"/>
      <c r="Q13" s="21"/>
      <c r="R13" s="21"/>
      <c r="S13" s="21"/>
      <c r="T13" s="21"/>
      <c r="U13" s="14"/>
      <c r="V13" s="76"/>
      <c r="W13" s="102"/>
      <c r="X13" s="102"/>
      <c r="Y13" s="102"/>
      <c r="Z13" s="103"/>
      <c r="AA13" s="103"/>
      <c r="AB13" s="103"/>
      <c r="AC13" s="103"/>
    </row>
    <row r="14" spans="1:29" s="11" customFormat="1" ht="15" customHeight="1">
      <c r="A14" s="3" t="s">
        <v>47</v>
      </c>
      <c r="B14" s="14"/>
      <c r="C14" s="14"/>
      <c r="G14" s="21"/>
      <c r="H14" s="21"/>
      <c r="I14" s="21"/>
      <c r="J14" s="21"/>
      <c r="K14" s="14"/>
      <c r="L14" s="21">
        <f>L11-21.728</f>
        <v>15.046999999999997</v>
      </c>
      <c r="M14" s="21">
        <f>M11-19.253</f>
        <v>16.323</v>
      </c>
      <c r="N14" s="21">
        <f>N11-18.591</f>
        <v>17.353999999999999</v>
      </c>
      <c r="O14" s="21">
        <f>O11-17.526</f>
        <v>21.628000000000004</v>
      </c>
      <c r="P14" s="14">
        <f>P11-77.1</f>
        <v>70.349999999999994</v>
      </c>
      <c r="Q14" s="21">
        <f>Q11-3.319</f>
        <v>14.125</v>
      </c>
      <c r="R14" s="21">
        <f>R11</f>
        <v>15.867000000000001</v>
      </c>
      <c r="S14" s="21">
        <f>S11</f>
        <v>18.36</v>
      </c>
      <c r="T14" s="21">
        <f>T11</f>
        <v>20.926989999999989</v>
      </c>
      <c r="U14" s="14">
        <f>U11-3.3</f>
        <v>69.335000000000008</v>
      </c>
      <c r="V14" s="76">
        <v>13.43</v>
      </c>
      <c r="W14" s="102">
        <f t="shared" ref="W14:Y14" si="5">R14*(1+W15)</f>
        <v>15.70833</v>
      </c>
      <c r="X14" s="102">
        <f t="shared" si="5"/>
        <v>18.176400000000001</v>
      </c>
      <c r="Y14" s="102">
        <f t="shared" si="5"/>
        <v>20.71772009999999</v>
      </c>
      <c r="Z14" s="104">
        <f>U14*(1+Z15)</f>
        <v>68.641650000000013</v>
      </c>
      <c r="AA14" s="105">
        <f>Z14*(1+AA15)</f>
        <v>67.955233500000006</v>
      </c>
      <c r="AB14" s="105">
        <f t="shared" ref="AB14:AC14" si="6">AA14*(1+AB15)</f>
        <v>67.275681165000009</v>
      </c>
      <c r="AC14" s="105">
        <f t="shared" si="6"/>
        <v>66.602924353350005</v>
      </c>
    </row>
    <row r="15" spans="1:29" s="11" customFormat="1" ht="15" customHeight="1">
      <c r="A15" s="3" t="s">
        <v>20</v>
      </c>
      <c r="B15" s="14"/>
      <c r="C15" s="14"/>
      <c r="D15" s="13">
        <f>D11/C11-1</f>
        <v>-7.9005884329664822E-3</v>
      </c>
      <c r="E15" s="13">
        <f>E11/D11-1</f>
        <v>-7.6867640063996268E-2</v>
      </c>
      <c r="F15" s="13">
        <f>F11/E11-1</f>
        <v>5.2743332916966423E-2</v>
      </c>
      <c r="G15" s="20">
        <v>0.44811922817028305</v>
      </c>
      <c r="H15" s="20">
        <v>0.48423503541053581</v>
      </c>
      <c r="I15" s="20">
        <v>0.43266657469995873</v>
      </c>
      <c r="J15" s="20">
        <v>0.2288874811169046</v>
      </c>
      <c r="K15" s="13">
        <f>K11/F11-1</f>
        <v>0.38552296945837439</v>
      </c>
      <c r="L15" s="20">
        <v>-4.666234607906683E-2</v>
      </c>
      <c r="M15" s="20">
        <v>-0.22487308538684447</v>
      </c>
      <c r="N15" s="20">
        <v>-0.30777822712654301</v>
      </c>
      <c r="O15" s="20">
        <f>O11/J11-1</f>
        <v>-0.22368942818621618</v>
      </c>
      <c r="P15" s="13">
        <f>P11/K11-1</f>
        <v>-0.21080097412155119</v>
      </c>
      <c r="Q15" s="20">
        <v>-0.52565601631543168</v>
      </c>
      <c r="R15" s="20">
        <v>-0.55399707668090847</v>
      </c>
      <c r="S15" s="20">
        <v>-0.48921964111837535</v>
      </c>
      <c r="T15" s="20">
        <v>-0.98341786199821368</v>
      </c>
      <c r="U15" s="13">
        <f>U14/P14-1</f>
        <v>-1.4427860696517247E-2</v>
      </c>
      <c r="V15" s="79">
        <f>V14/Q14-1</f>
        <v>-4.9203539823008846E-2</v>
      </c>
      <c r="W15" s="101">
        <v>-0.01</v>
      </c>
      <c r="X15" s="101">
        <v>-0.01</v>
      </c>
      <c r="Y15" s="101">
        <v>-0.01</v>
      </c>
      <c r="Z15" s="106">
        <v>-0.01</v>
      </c>
      <c r="AA15" s="106">
        <v>-0.01</v>
      </c>
      <c r="AB15" s="106">
        <v>-0.01</v>
      </c>
      <c r="AC15" s="106">
        <v>-0.01</v>
      </c>
    </row>
    <row r="16" spans="1:29" s="11" customFormat="1" ht="15" customHeight="1">
      <c r="A16" s="4"/>
      <c r="B16" s="10"/>
      <c r="C16" s="10"/>
      <c r="D16" s="10"/>
      <c r="E16" s="10"/>
      <c r="F16" s="10"/>
      <c r="G16" s="21"/>
      <c r="H16" s="21"/>
      <c r="I16" s="21"/>
      <c r="J16" s="21"/>
      <c r="K16" s="14"/>
      <c r="L16" s="21"/>
      <c r="M16" s="21"/>
      <c r="N16" s="21"/>
      <c r="O16" s="21"/>
      <c r="P16" s="14"/>
      <c r="Q16" s="21"/>
      <c r="R16" s="21"/>
      <c r="S16" s="21"/>
      <c r="T16" s="21"/>
      <c r="U16" s="14"/>
      <c r="V16" s="76"/>
      <c r="W16" s="102"/>
      <c r="X16" s="102"/>
      <c r="Y16" s="102"/>
      <c r="Z16" s="103"/>
      <c r="AA16" s="103"/>
      <c r="AB16" s="103"/>
      <c r="AC16" s="103"/>
    </row>
    <row r="17" spans="1:29" ht="15" customHeight="1">
      <c r="A17" s="3" t="s">
        <v>9</v>
      </c>
      <c r="B17" s="10">
        <v>-463.64300500000002</v>
      </c>
      <c r="C17" s="10">
        <v>-479.76901199999998</v>
      </c>
      <c r="D17" s="10">
        <v>-541.00598100000002</v>
      </c>
      <c r="E17" s="10">
        <v>-603.20898399999999</v>
      </c>
      <c r="F17" s="10">
        <v>-789.02301</v>
      </c>
      <c r="G17" s="21">
        <v>-171.09899899999999</v>
      </c>
      <c r="H17" s="21">
        <v>-273.79501299999998</v>
      </c>
      <c r="I17" s="21">
        <v>-268.60400399999997</v>
      </c>
      <c r="J17" s="21">
        <v>-232.76800499999999</v>
      </c>
      <c r="K17" s="14">
        <v>-956.92100000000005</v>
      </c>
      <c r="L17" s="21">
        <v>-168.679993</v>
      </c>
      <c r="M17" s="21">
        <v>-266.817993</v>
      </c>
      <c r="N17" s="21">
        <v>-255.63900799999999</v>
      </c>
      <c r="O17" s="21">
        <v>-243.51899700000001</v>
      </c>
      <c r="P17" s="14">
        <v>-940.048</v>
      </c>
      <c r="Q17" s="21">
        <v>-149.01100199999999</v>
      </c>
      <c r="R17" s="21">
        <v>-261.334991</v>
      </c>
      <c r="S17" s="21">
        <v>-270.04501299999998</v>
      </c>
      <c r="T17" s="21">
        <v>-218.48100299999999</v>
      </c>
      <c r="U17" s="14">
        <v>-899.65499999999997</v>
      </c>
      <c r="V17" s="76">
        <v>-181.87799999999999</v>
      </c>
      <c r="W17" s="102"/>
      <c r="X17" s="102"/>
      <c r="Y17" s="102"/>
      <c r="Z17"/>
    </row>
    <row r="18" spans="1:29" s="35" customFormat="1" ht="15" customHeight="1">
      <c r="A18" s="34" t="s">
        <v>64</v>
      </c>
      <c r="B18" s="38"/>
      <c r="C18" s="38"/>
      <c r="D18" s="38">
        <v>56.398000000000003</v>
      </c>
      <c r="E18" s="38">
        <v>62.276000000000003</v>
      </c>
      <c r="F18" s="38">
        <v>67.903000000000006</v>
      </c>
      <c r="G18" s="37">
        <v>18.481000000000002</v>
      </c>
      <c r="H18" s="37">
        <v>20.085999999999999</v>
      </c>
      <c r="I18" s="37">
        <v>20.843</v>
      </c>
      <c r="J18" s="37">
        <v>22.689</v>
      </c>
      <c r="K18" s="36">
        <f>118.533-K53</f>
        <v>88.521000000000001</v>
      </c>
      <c r="L18" s="37">
        <f>33.84-L53</f>
        <v>26.609000000000002</v>
      </c>
      <c r="M18" s="37">
        <f>32.436-M53</f>
        <v>25.432000000000002</v>
      </c>
      <c r="N18" s="37">
        <f>33.063-N53</f>
        <v>26.000000000000004</v>
      </c>
      <c r="O18" s="37">
        <f>34.005-O53</f>
        <v>27.400000000000002</v>
      </c>
      <c r="P18" s="36">
        <f>132.544-P53</f>
        <v>104.36800000000001</v>
      </c>
      <c r="Q18" s="37">
        <f>31.937-Q53</f>
        <v>25.642000000000003</v>
      </c>
      <c r="R18" s="37">
        <f>32.204-R53</f>
        <v>26.124000000000002</v>
      </c>
      <c r="S18" s="37">
        <f>31.871-S53</f>
        <v>25.808999999999997</v>
      </c>
      <c r="T18" s="37">
        <f>33.03-T53</f>
        <v>27.163</v>
      </c>
      <c r="U18" s="36">
        <f>129.042-U53</f>
        <v>104.738</v>
      </c>
      <c r="V18" s="310">
        <f>33.055-V53</f>
        <v>27.463999999999999</v>
      </c>
      <c r="W18" s="107"/>
      <c r="X18" s="107"/>
      <c r="Y18" s="107"/>
      <c r="Z18"/>
      <c r="AA18" s="108"/>
      <c r="AB18" s="108"/>
      <c r="AC18" s="108"/>
    </row>
    <row r="19" spans="1:29" s="35" customFormat="1" ht="15" customHeight="1">
      <c r="A19" s="34" t="s">
        <v>51</v>
      </c>
      <c r="B19" s="38"/>
      <c r="C19" s="38"/>
      <c r="D19" s="38">
        <v>27.5</v>
      </c>
      <c r="E19" s="38">
        <v>24.7</v>
      </c>
      <c r="F19" s="38">
        <v>21.9</v>
      </c>
      <c r="G19" s="37">
        <v>4.9000000000000004</v>
      </c>
      <c r="H19" s="37">
        <v>5.5</v>
      </c>
      <c r="I19" s="37">
        <v>5.2</v>
      </c>
      <c r="J19" s="37">
        <v>5.2</v>
      </c>
      <c r="K19" s="36">
        <v>20.524999999999999</v>
      </c>
      <c r="L19" s="37">
        <v>4.6059999999999999</v>
      </c>
      <c r="M19" s="37">
        <v>4.6159999999999997</v>
      </c>
      <c r="N19" s="37">
        <v>4.5149999999999997</v>
      </c>
      <c r="O19" s="37">
        <v>4.4249999999999998</v>
      </c>
      <c r="P19" s="36">
        <v>18.161999999999999</v>
      </c>
      <c r="Q19" s="37">
        <v>3.8690000000000002</v>
      </c>
      <c r="R19" s="37">
        <v>3.7919999999999998</v>
      </c>
      <c r="S19" s="37">
        <v>3.778</v>
      </c>
      <c r="T19" s="37">
        <v>3.6869999999999998</v>
      </c>
      <c r="U19" s="36">
        <v>15.125999999999999</v>
      </c>
      <c r="V19" s="310">
        <v>3.1320000000000001</v>
      </c>
      <c r="W19" s="107"/>
      <c r="X19" s="107"/>
      <c r="Y19" s="107"/>
      <c r="Z19"/>
      <c r="AA19" s="108"/>
      <c r="AB19" s="108"/>
      <c r="AC19" s="108"/>
    </row>
    <row r="20" spans="1:29" s="35" customFormat="1" ht="15" customHeight="1">
      <c r="A20" s="34" t="s">
        <v>59</v>
      </c>
      <c r="B20" s="38"/>
      <c r="C20" s="38"/>
      <c r="D20" s="38">
        <v>0</v>
      </c>
      <c r="E20" s="38">
        <v>0.66500000000000004</v>
      </c>
      <c r="F20" s="38">
        <v>0</v>
      </c>
      <c r="G20" s="37">
        <v>0</v>
      </c>
      <c r="H20" s="37">
        <v>1.208</v>
      </c>
      <c r="I20" s="37">
        <v>0</v>
      </c>
      <c r="J20" s="37">
        <v>0.16500000000000001</v>
      </c>
      <c r="K20" s="36">
        <v>1.373</v>
      </c>
      <c r="L20" s="37">
        <v>0</v>
      </c>
      <c r="M20" s="37">
        <v>0</v>
      </c>
      <c r="N20" s="37">
        <v>0</v>
      </c>
      <c r="O20" s="37">
        <v>0</v>
      </c>
      <c r="P20" s="36">
        <v>0</v>
      </c>
      <c r="Q20" s="37">
        <v>0</v>
      </c>
      <c r="R20" s="37">
        <v>0</v>
      </c>
      <c r="S20" s="37">
        <v>0</v>
      </c>
      <c r="T20" s="37">
        <f>0.269</f>
        <v>0.26900000000000002</v>
      </c>
      <c r="U20" s="36">
        <v>0.26900000000000002</v>
      </c>
      <c r="V20" s="310">
        <v>0</v>
      </c>
      <c r="W20" s="107"/>
      <c r="X20" s="107"/>
      <c r="Y20" s="107"/>
      <c r="Z20"/>
      <c r="AA20" s="108"/>
      <c r="AB20" s="108"/>
      <c r="AC20" s="108"/>
    </row>
    <row r="21" spans="1:29" s="35" customFormat="1" ht="15" customHeight="1">
      <c r="A21" s="34" t="s">
        <v>50</v>
      </c>
      <c r="B21" s="38"/>
      <c r="C21" s="38"/>
      <c r="D21" s="38">
        <v>0</v>
      </c>
      <c r="E21" s="38">
        <v>7.4999999999999997E-2</v>
      </c>
      <c r="F21" s="38">
        <v>7.1999999999999995E-2</v>
      </c>
      <c r="G21" s="37">
        <v>0</v>
      </c>
      <c r="H21" s="37">
        <v>0</v>
      </c>
      <c r="I21" s="37">
        <v>0.32400000000000001</v>
      </c>
      <c r="J21" s="37">
        <v>0.185</v>
      </c>
      <c r="K21" s="36">
        <v>0.50900000000000001</v>
      </c>
      <c r="L21" s="37">
        <v>0</v>
      </c>
      <c r="M21" s="37">
        <v>0.11600000000000001</v>
      </c>
      <c r="N21" s="37">
        <v>0</v>
      </c>
      <c r="O21" s="37">
        <v>1.7999999999999999E-2</v>
      </c>
      <c r="P21" s="36">
        <v>0.13400000000000001</v>
      </c>
      <c r="Q21" s="37">
        <v>0</v>
      </c>
      <c r="R21" s="37">
        <v>0</v>
      </c>
      <c r="S21" s="37">
        <v>0</v>
      </c>
      <c r="T21" s="37">
        <v>0</v>
      </c>
      <c r="U21" s="36">
        <v>0</v>
      </c>
      <c r="V21" s="310">
        <v>0</v>
      </c>
      <c r="W21" s="107"/>
      <c r="X21" s="107"/>
      <c r="Y21" s="107"/>
      <c r="Z21"/>
      <c r="AA21" s="108"/>
      <c r="AB21" s="108"/>
      <c r="AC21" s="108"/>
    </row>
    <row r="22" spans="1:29" s="35" customFormat="1" ht="15" customHeight="1">
      <c r="A22" s="34" t="s">
        <v>63</v>
      </c>
      <c r="B22" s="38"/>
      <c r="C22" s="38"/>
      <c r="D22" s="38">
        <v>5.2629999999999999</v>
      </c>
      <c r="E22" s="38">
        <v>0</v>
      </c>
      <c r="F22" s="38">
        <v>0</v>
      </c>
      <c r="G22" s="37">
        <v>0</v>
      </c>
      <c r="H22" s="37">
        <v>0</v>
      </c>
      <c r="I22" s="37">
        <v>0</v>
      </c>
      <c r="J22" s="37">
        <v>19.297000000000001</v>
      </c>
      <c r="K22" s="36">
        <v>19.297000000000001</v>
      </c>
      <c r="L22" s="37">
        <v>0</v>
      </c>
      <c r="M22" s="37">
        <v>0</v>
      </c>
      <c r="N22" s="37">
        <v>0</v>
      </c>
      <c r="O22" s="37">
        <v>0</v>
      </c>
      <c r="P22" s="36">
        <v>0</v>
      </c>
      <c r="Q22" s="37">
        <v>0</v>
      </c>
      <c r="R22" s="37">
        <v>0</v>
      </c>
      <c r="S22" s="37">
        <v>0</v>
      </c>
      <c r="T22" s="37">
        <v>0</v>
      </c>
      <c r="U22" s="36">
        <v>0</v>
      </c>
      <c r="V22" s="310">
        <v>0</v>
      </c>
      <c r="W22" s="107"/>
      <c r="X22" s="107"/>
      <c r="Y22" s="107"/>
      <c r="Z22" s="108"/>
      <c r="AA22" s="108"/>
      <c r="AB22" s="108"/>
      <c r="AC22" s="108"/>
    </row>
    <row r="23" spans="1:29" ht="15" customHeight="1">
      <c r="A23" s="3" t="s">
        <v>74</v>
      </c>
      <c r="B23" s="10"/>
      <c r="C23" s="10"/>
      <c r="D23" s="10">
        <f t="shared" ref="D23:F23" si="7">SUM(D19:D22,D17)</f>
        <v>-508.24298100000004</v>
      </c>
      <c r="E23" s="10">
        <f t="shared" si="7"/>
        <v>-577.76898400000005</v>
      </c>
      <c r="F23" s="10">
        <f t="shared" si="7"/>
        <v>-767.05101000000002</v>
      </c>
      <c r="G23" s="21">
        <f t="shared" ref="G23:L23" si="8">SUM(G19:G22,G17)</f>
        <v>-166.19899899999999</v>
      </c>
      <c r="H23" s="21">
        <f t="shared" si="8"/>
        <v>-267.08701299999996</v>
      </c>
      <c r="I23" s="21">
        <f t="shared" si="8"/>
        <v>-263.08000399999997</v>
      </c>
      <c r="J23" s="21">
        <f t="shared" si="8"/>
        <v>-207.92100499999998</v>
      </c>
      <c r="K23" s="14">
        <f t="shared" si="8"/>
        <v>-915.2170000000001</v>
      </c>
      <c r="L23" s="21">
        <f t="shared" si="8"/>
        <v>-164.073993</v>
      </c>
      <c r="M23" s="21">
        <f t="shared" ref="M23:O23" si="9">SUM(M19:M22,M17)</f>
        <v>-262.08599300000003</v>
      </c>
      <c r="N23" s="21">
        <f t="shared" si="9"/>
        <v>-251.124008</v>
      </c>
      <c r="O23" s="21">
        <f t="shared" si="9"/>
        <v>-239.075997</v>
      </c>
      <c r="P23" s="14">
        <f>SUM(P19:P22,P17)</f>
        <v>-921.75199999999995</v>
      </c>
      <c r="Q23" s="21">
        <f>SUM(Q19:Q22,Q17)</f>
        <v>-145.14200199999999</v>
      </c>
      <c r="R23" s="21">
        <f t="shared" ref="R23:T23" si="10">SUM(R19:R22,R17)</f>
        <v>-257.54299100000003</v>
      </c>
      <c r="S23" s="21">
        <f t="shared" si="10"/>
        <v>-266.26701299999996</v>
      </c>
      <c r="T23" s="21">
        <f t="shared" si="10"/>
        <v>-214.525003</v>
      </c>
      <c r="U23" s="14">
        <f>SUM(U19:U22,U17)</f>
        <v>-884.26</v>
      </c>
      <c r="V23" s="76">
        <f>SUM(V19:V22,V17)</f>
        <v>-178.74599999999998</v>
      </c>
      <c r="W23" s="102">
        <f>W24*-W4</f>
        <v>-282.16690480150237</v>
      </c>
      <c r="X23" s="102">
        <f t="shared" ref="X23:Y23" si="11">X24*-X4</f>
        <v>-255.9383132345944</v>
      </c>
      <c r="Y23" s="102">
        <f t="shared" si="11"/>
        <v>-247.11858537637565</v>
      </c>
      <c r="Z23" s="105">
        <f>SUM(V23:Y23)</f>
        <v>-963.9698034124724</v>
      </c>
      <c r="AA23" s="104">
        <f ca="1">-AA24*AA4</f>
        <v>-1050.5776223416981</v>
      </c>
      <c r="AB23" s="104">
        <f t="shared" ref="AB23:AC23" ca="1" si="12">-AB24*AB4</f>
        <v>-1166.686068032076</v>
      </c>
      <c r="AC23" s="104">
        <f t="shared" ca="1" si="12"/>
        <v>-1302.1365590869259</v>
      </c>
    </row>
    <row r="24" spans="1:29" s="35" customFormat="1" ht="15" customHeight="1">
      <c r="A24" s="34" t="s">
        <v>72</v>
      </c>
      <c r="B24" s="38"/>
      <c r="C24" s="38"/>
      <c r="D24" s="44">
        <f>-D23/D4</f>
        <v>0.63994089556470746</v>
      </c>
      <c r="E24" s="44">
        <f t="shared" ref="E24:U24" si="13">-E23/E4</f>
        <v>0.64249454494183245</v>
      </c>
      <c r="F24" s="44">
        <f t="shared" si="13"/>
        <v>0.65060892831445727</v>
      </c>
      <c r="G24" s="50">
        <f t="shared" si="13"/>
        <v>0.63994560768414954</v>
      </c>
      <c r="H24" s="50">
        <f t="shared" si="13"/>
        <v>0.67402811227583104</v>
      </c>
      <c r="I24" s="50">
        <f t="shared" si="13"/>
        <v>0.66604050724730812</v>
      </c>
      <c r="J24" s="50">
        <f t="shared" si="13"/>
        <v>0.6825317514504361</v>
      </c>
      <c r="K24" s="44">
        <f t="shared" si="13"/>
        <v>0.67514491937445875</v>
      </c>
      <c r="L24" s="50">
        <f t="shared" si="13"/>
        <v>0.75869208090263873</v>
      </c>
      <c r="M24" s="50">
        <f t="shared" si="13"/>
        <v>0.69391462544826155</v>
      </c>
      <c r="N24" s="50">
        <f t="shared" si="13"/>
        <v>0.6479733150517224</v>
      </c>
      <c r="O24" s="50">
        <f t="shared" si="13"/>
        <v>0.61488840267620126</v>
      </c>
      <c r="P24" s="44">
        <f t="shared" si="13"/>
        <v>0.67265652103123275</v>
      </c>
      <c r="Q24" s="50">
        <f t="shared" si="13"/>
        <v>0.60364160469797545</v>
      </c>
      <c r="R24" s="50">
        <f t="shared" si="13"/>
        <v>0.61553076699132836</v>
      </c>
      <c r="S24" s="50">
        <f t="shared" si="13"/>
        <v>0.61299727420695294</v>
      </c>
      <c r="T24" s="50">
        <f t="shared" si="13"/>
        <v>0.61604932748033114</v>
      </c>
      <c r="U24" s="44">
        <f t="shared" si="13"/>
        <v>0.61345259230235982</v>
      </c>
      <c r="V24" s="311">
        <f t="shared" ref="V24" si="14">-V23/V4</f>
        <v>0.62623629694249694</v>
      </c>
      <c r="W24" s="122">
        <f>R24+W28/10000</f>
        <v>0.61953076699132836</v>
      </c>
      <c r="X24" s="122">
        <f t="shared" ref="X24:Y24" si="15">S24+X28/10000</f>
        <v>0.60099727420695293</v>
      </c>
      <c r="Y24" s="122">
        <f t="shared" si="15"/>
        <v>0.60404932748033113</v>
      </c>
      <c r="Z24" s="123">
        <f ca="1">U24+Z25/10000</f>
        <v>0.6117176972930698</v>
      </c>
      <c r="AA24" s="123">
        <f ca="1">Z24+AA25/10000</f>
        <v>0.60321769729306984</v>
      </c>
      <c r="AB24" s="123">
        <f t="shared" ref="AB24:AC24" ca="1" si="16">AA24+AB25/10000</f>
        <v>0.59671769729306989</v>
      </c>
      <c r="AC24" s="123">
        <f t="shared" ca="1" si="16"/>
        <v>0.59291769729306987</v>
      </c>
    </row>
    <row r="25" spans="1:29" s="35" customFormat="1" ht="15" customHeight="1">
      <c r="A25" s="34"/>
      <c r="B25" s="38"/>
      <c r="C25" s="38"/>
      <c r="D25" s="44"/>
      <c r="E25" s="44"/>
      <c r="F25" s="44"/>
      <c r="G25" s="50"/>
      <c r="H25" s="50"/>
      <c r="I25" s="50"/>
      <c r="J25" s="50"/>
      <c r="K25" s="44"/>
      <c r="L25" s="50"/>
      <c r="M25" s="50"/>
      <c r="N25" s="50"/>
      <c r="O25" s="50"/>
      <c r="P25" s="44"/>
      <c r="Q25" s="50"/>
      <c r="R25" s="50"/>
      <c r="S25" s="50"/>
      <c r="T25" s="50"/>
      <c r="U25" s="44"/>
      <c r="V25" s="311"/>
      <c r="W25" s="122"/>
      <c r="X25" s="122"/>
      <c r="Y25" s="122"/>
      <c r="Z25" s="141">
        <f ca="1">OFFSET(Z26,Summary!$C$15,0)</f>
        <v>-17.348950092900274</v>
      </c>
      <c r="AA25" s="141">
        <f ca="1">OFFSET(AA26,Summary!$C$15,0)</f>
        <v>-85</v>
      </c>
      <c r="AB25" s="141">
        <f ca="1">OFFSET(AB26,Summary!$C$15,0)</f>
        <v>-65</v>
      </c>
      <c r="AC25" s="141">
        <f ca="1">OFFSET(AC26,Summary!$C$15,0)</f>
        <v>-38</v>
      </c>
    </row>
    <row r="26" spans="1:29" s="35" customFormat="1" ht="15" customHeight="1">
      <c r="A26" s="34"/>
      <c r="B26" s="38"/>
      <c r="C26" s="38"/>
      <c r="D26" s="44"/>
      <c r="E26" s="44"/>
      <c r="F26" s="44"/>
      <c r="G26" s="50"/>
      <c r="H26" s="50"/>
      <c r="I26" s="50"/>
      <c r="J26" s="50"/>
      <c r="K26" s="44"/>
      <c r="L26" s="50"/>
      <c r="M26" s="50"/>
      <c r="N26" s="50"/>
      <c r="O26" s="50"/>
      <c r="P26" s="44"/>
      <c r="Q26" s="50"/>
      <c r="R26" s="50"/>
      <c r="S26" s="50"/>
      <c r="T26" s="50"/>
      <c r="U26" s="44"/>
      <c r="V26" s="311"/>
      <c r="W26" s="122"/>
      <c r="X26" s="122"/>
      <c r="Y26" s="122"/>
      <c r="Z26" s="123"/>
      <c r="AA26" s="123"/>
      <c r="AB26" s="123"/>
      <c r="AC26" s="123"/>
    </row>
    <row r="27" spans="1:29" s="35" customFormat="1" ht="15" customHeight="1">
      <c r="A27" s="34"/>
      <c r="B27" s="38"/>
      <c r="C27" s="38"/>
      <c r="D27" s="44"/>
      <c r="E27" s="44"/>
      <c r="F27" s="44"/>
      <c r="G27" s="50"/>
      <c r="H27" s="50"/>
      <c r="I27" s="50"/>
      <c r="J27" s="50"/>
      <c r="K27" s="44"/>
      <c r="L27" s="50"/>
      <c r="M27" s="50"/>
      <c r="N27" s="50"/>
      <c r="O27" s="50"/>
      <c r="P27" s="44"/>
      <c r="Q27" s="50"/>
      <c r="R27" s="50"/>
      <c r="S27" s="50"/>
      <c r="T27" s="50"/>
      <c r="U27" s="44"/>
      <c r="V27" s="311"/>
      <c r="W27" s="122"/>
      <c r="X27" s="122"/>
      <c r="Y27" s="122"/>
      <c r="Z27" s="141">
        <v>-30</v>
      </c>
      <c r="AA27" s="141">
        <v>-85</v>
      </c>
      <c r="AB27" s="141">
        <v>-80</v>
      </c>
      <c r="AC27" s="141">
        <v>-80</v>
      </c>
    </row>
    <row r="28" spans="1:29" s="35" customFormat="1" ht="15" customHeight="1">
      <c r="A28" s="16" t="s">
        <v>184</v>
      </c>
      <c r="B28" s="38"/>
      <c r="C28" s="38"/>
      <c r="D28" s="44"/>
      <c r="E28" s="36">
        <f>(E24-D24)*10000</f>
        <v>25.536493771249891</v>
      </c>
      <c r="F28" s="36">
        <f>(F24-E24)*10000</f>
        <v>81.143833726248232</v>
      </c>
      <c r="G28" s="37"/>
      <c r="H28" s="37"/>
      <c r="I28" s="37"/>
      <c r="J28" s="37"/>
      <c r="K28" s="118">
        <f>(K24-F24)*10000</f>
        <v>245.35991060001484</v>
      </c>
      <c r="L28" s="119">
        <f>(L24-G24)*10000</f>
        <v>1187.464732184892</v>
      </c>
      <c r="M28" s="119">
        <f t="shared" ref="M28" si="17">(M24-H24)*10000</f>
        <v>198.86513172430509</v>
      </c>
      <c r="N28" s="119">
        <f t="shared" ref="N28" si="18">(N24-I24)*10000</f>
        <v>-180.67192195585724</v>
      </c>
      <c r="O28" s="119">
        <f t="shared" ref="O28" si="19">(O24-J24)*10000</f>
        <v>-676.43348774234835</v>
      </c>
      <c r="P28" s="118">
        <f>(P24-K24)*10000</f>
        <v>-24.883983432260059</v>
      </c>
      <c r="Q28" s="119">
        <f>(Q24-L24)*10000</f>
        <v>-1550.5047620466328</v>
      </c>
      <c r="R28" s="119">
        <f t="shared" ref="R28" si="20">(R24-M24)*10000</f>
        <v>-783.83858456933183</v>
      </c>
      <c r="S28" s="119">
        <f t="shared" ref="S28" si="21">(S24-N24)*10000</f>
        <v>-349.7604084476946</v>
      </c>
      <c r="T28" s="119">
        <f t="shared" ref="T28" si="22">(T24-O24)*10000</f>
        <v>11.609248041298814</v>
      </c>
      <c r="U28" s="118">
        <f>(U24-P24)*10000</f>
        <v>-592.03928728872927</v>
      </c>
      <c r="V28" s="312">
        <f>(V24-Q24)*10000</f>
        <v>225.94692244521485</v>
      </c>
      <c r="W28" s="139">
        <v>40</v>
      </c>
      <c r="X28" s="139">
        <v>-120</v>
      </c>
      <c r="Y28" s="139">
        <v>-120</v>
      </c>
      <c r="Z28" s="141">
        <v>-17.348950092900274</v>
      </c>
      <c r="AA28" s="141">
        <v>-85</v>
      </c>
      <c r="AB28" s="141">
        <v>-65</v>
      </c>
      <c r="AC28" s="141">
        <v>-38</v>
      </c>
    </row>
    <row r="29" spans="1:29" s="35" customFormat="1" ht="15" customHeight="1">
      <c r="A29" s="16"/>
      <c r="B29" s="38"/>
      <c r="C29" s="38"/>
      <c r="D29" s="44"/>
      <c r="E29" s="36"/>
      <c r="F29" s="36"/>
      <c r="G29" s="37"/>
      <c r="H29" s="37"/>
      <c r="I29" s="37"/>
      <c r="J29" s="37"/>
      <c r="K29" s="118"/>
      <c r="L29" s="119"/>
      <c r="M29" s="119"/>
      <c r="N29" s="119"/>
      <c r="O29" s="119"/>
      <c r="P29" s="118"/>
      <c r="Q29" s="119"/>
      <c r="R29" s="119"/>
      <c r="S29" s="119"/>
      <c r="T29" s="119"/>
      <c r="U29" s="118"/>
      <c r="V29" s="312"/>
      <c r="W29" s="139"/>
      <c r="X29" s="139"/>
      <c r="Y29" s="139"/>
      <c r="Z29" s="141">
        <v>20</v>
      </c>
      <c r="AA29" s="141">
        <v>0</v>
      </c>
      <c r="AB29" s="141">
        <v>-50</v>
      </c>
      <c r="AC29" s="141">
        <v>-30</v>
      </c>
    </row>
    <row r="30" spans="1:29" s="35" customFormat="1" ht="15" customHeight="1">
      <c r="A30" s="16"/>
      <c r="B30" s="38"/>
      <c r="C30" s="38"/>
      <c r="D30" s="44"/>
      <c r="E30" s="36"/>
      <c r="F30" s="36"/>
      <c r="G30" s="37"/>
      <c r="H30" s="37"/>
      <c r="I30" s="37"/>
      <c r="J30" s="37"/>
      <c r="K30" s="118"/>
      <c r="L30" s="119"/>
      <c r="M30" s="119"/>
      <c r="N30" s="119"/>
      <c r="O30" s="119"/>
      <c r="P30" s="118"/>
      <c r="Q30" s="119"/>
      <c r="R30" s="119"/>
      <c r="S30" s="119"/>
      <c r="T30" s="119"/>
      <c r="U30" s="118"/>
      <c r="V30" s="311"/>
      <c r="W30" s="122"/>
      <c r="X30" s="122"/>
      <c r="Y30" s="122"/>
      <c r="Z30" s="123"/>
      <c r="AA30" s="123"/>
      <c r="AB30" s="123"/>
      <c r="AC30" s="123"/>
    </row>
    <row r="31" spans="1:29" s="128" customFormat="1" ht="15" customHeight="1">
      <c r="A31" s="43" t="s">
        <v>185</v>
      </c>
      <c r="B31" s="10"/>
      <c r="C31" s="10"/>
      <c r="D31" s="127">
        <f>D18-D19</f>
        <v>28.898000000000003</v>
      </c>
      <c r="E31" s="14">
        <f>E18-E19</f>
        <v>37.576000000000008</v>
      </c>
      <c r="F31" s="14">
        <f>F18-F19</f>
        <v>46.003000000000007</v>
      </c>
      <c r="G31" s="21">
        <f>G18-G19</f>
        <v>13.581000000000001</v>
      </c>
      <c r="H31" s="21">
        <f t="shared" ref="H31:U31" si="23">H18-H19</f>
        <v>14.585999999999999</v>
      </c>
      <c r="I31" s="21">
        <f t="shared" si="23"/>
        <v>15.643000000000001</v>
      </c>
      <c r="J31" s="21">
        <f t="shared" si="23"/>
        <v>17.489000000000001</v>
      </c>
      <c r="K31" s="120">
        <f t="shared" si="23"/>
        <v>67.996000000000009</v>
      </c>
      <c r="L31" s="121">
        <f t="shared" si="23"/>
        <v>22.003</v>
      </c>
      <c r="M31" s="121">
        <f t="shared" si="23"/>
        <v>20.816000000000003</v>
      </c>
      <c r="N31" s="121">
        <f t="shared" si="23"/>
        <v>21.485000000000003</v>
      </c>
      <c r="O31" s="121">
        <f t="shared" si="23"/>
        <v>22.975000000000001</v>
      </c>
      <c r="P31" s="120">
        <f t="shared" si="23"/>
        <v>86.206000000000017</v>
      </c>
      <c r="Q31" s="121">
        <f t="shared" si="23"/>
        <v>21.773000000000003</v>
      </c>
      <c r="R31" s="121">
        <f t="shared" si="23"/>
        <v>22.332000000000001</v>
      </c>
      <c r="S31" s="121">
        <f t="shared" si="23"/>
        <v>22.030999999999999</v>
      </c>
      <c r="T31" s="121">
        <f t="shared" si="23"/>
        <v>23.475999999999999</v>
      </c>
      <c r="U31" s="120">
        <f t="shared" si="23"/>
        <v>89.611999999999995</v>
      </c>
      <c r="V31" s="313">
        <f t="shared" ref="V31" si="24">V18-V19</f>
        <v>24.331999999999997</v>
      </c>
      <c r="W31" s="129">
        <f>W4*W32</f>
        <v>25.04989355</v>
      </c>
      <c r="X31" s="129">
        <f t="shared" ref="X31:Y31" si="25">X4*X32</f>
        <v>21.292801500000003</v>
      </c>
      <c r="Y31" s="129">
        <f t="shared" si="25"/>
        <v>25.773509166300002</v>
      </c>
      <c r="Z31" s="130">
        <f>SUM(V31:Y31)</f>
        <v>96.448204216299999</v>
      </c>
      <c r="AA31" s="130">
        <f ca="1">AA4*AA32</f>
        <v>107.98060613520002</v>
      </c>
      <c r="AB31" s="130">
        <f t="shared" ref="AB31:AC31" ca="1" si="26">AB4*AB32</f>
        <v>121.22069874267962</v>
      </c>
      <c r="AC31" s="130">
        <f t="shared" ca="1" si="26"/>
        <v>136.1613374536949</v>
      </c>
    </row>
    <row r="32" spans="1:29" s="35" customFormat="1" ht="15" customHeight="1">
      <c r="A32" s="34" t="s">
        <v>72</v>
      </c>
      <c r="B32" s="38"/>
      <c r="C32" s="38"/>
      <c r="D32" s="44">
        <f>D31/D4</f>
        <v>3.6386163097900055E-2</v>
      </c>
      <c r="E32" s="44">
        <f t="shared" ref="E32:U32" si="27">E31/E4</f>
        <v>4.1785515819129364E-2</v>
      </c>
      <c r="F32" s="44">
        <f t="shared" si="27"/>
        <v>3.9019520395716552E-2</v>
      </c>
      <c r="G32" s="50">
        <f t="shared" si="27"/>
        <v>5.2293343222593276E-2</v>
      </c>
      <c r="H32" s="50">
        <f t="shared" si="27"/>
        <v>3.6809629697926463E-2</v>
      </c>
      <c r="I32" s="50">
        <f t="shared" si="27"/>
        <v>3.9603434303086153E-2</v>
      </c>
      <c r="J32" s="50">
        <f t="shared" si="27"/>
        <v>5.7410254443107753E-2</v>
      </c>
      <c r="K32" s="44">
        <f t="shared" si="27"/>
        <v>5.0159857102507602E-2</v>
      </c>
      <c r="L32" s="50">
        <f t="shared" si="27"/>
        <v>0.1017437410455462</v>
      </c>
      <c r="M32" s="50">
        <f t="shared" si="27"/>
        <v>5.5113692563230621E-2</v>
      </c>
      <c r="N32" s="50">
        <f t="shared" si="27"/>
        <v>5.543757757277535E-2</v>
      </c>
      <c r="O32" s="50">
        <f t="shared" si="27"/>
        <v>5.9090252592299032E-2</v>
      </c>
      <c r="P32" s="44">
        <f t="shared" si="27"/>
        <v>6.2909576601969358E-2</v>
      </c>
      <c r="Q32" s="50">
        <f t="shared" si="27"/>
        <v>9.0553309710369165E-2</v>
      </c>
      <c r="R32" s="50">
        <f t="shared" si="27"/>
        <v>5.3373741739492123E-2</v>
      </c>
      <c r="S32" s="50">
        <f t="shared" si="27"/>
        <v>5.0719549507446428E-2</v>
      </c>
      <c r="T32" s="50">
        <f t="shared" si="27"/>
        <v>6.7415796805411321E-2</v>
      </c>
      <c r="U32" s="44">
        <f t="shared" si="27"/>
        <v>6.2168042997985958E-2</v>
      </c>
      <c r="V32" s="311">
        <f t="shared" ref="V32" si="28">V31/V4</f>
        <v>8.5247119248569675E-2</v>
      </c>
      <c r="W32" s="122">
        <v>5.5E-2</v>
      </c>
      <c r="X32" s="122">
        <v>0.05</v>
      </c>
      <c r="Y32" s="122">
        <v>6.3E-2</v>
      </c>
      <c r="Z32" s="140">
        <f>Z31/Z4</f>
        <v>6.1204275468369325E-2</v>
      </c>
      <c r="AA32" s="194">
        <v>6.2E-2</v>
      </c>
      <c r="AB32" s="194">
        <v>6.2E-2</v>
      </c>
      <c r="AC32" s="194">
        <v>6.2E-2</v>
      </c>
    </row>
    <row r="33" spans="1:32" s="35" customFormat="1" ht="15" customHeight="1">
      <c r="A33" s="34" t="s">
        <v>188</v>
      </c>
      <c r="B33" s="38"/>
      <c r="C33" s="38"/>
      <c r="D33" s="44"/>
      <c r="E33" s="44">
        <f>E31/D31-1</f>
        <v>0.30029759844971982</v>
      </c>
      <c r="F33" s="44">
        <f>F31/E31-1</f>
        <v>0.22426548860975082</v>
      </c>
      <c r="G33" s="50"/>
      <c r="H33" s="50"/>
      <c r="I33" s="50"/>
      <c r="J33" s="50"/>
      <c r="K33" s="44">
        <f>K31/F31-1</f>
        <v>0.47807751668369458</v>
      </c>
      <c r="L33" s="50">
        <f>L31/G31-1</f>
        <v>0.62013106545909702</v>
      </c>
      <c r="M33" s="50">
        <f t="shared" ref="M33:O33" si="29">M31/H31-1</f>
        <v>0.42712189771013342</v>
      </c>
      <c r="N33" s="50">
        <f t="shared" si="29"/>
        <v>0.37345777664130941</v>
      </c>
      <c r="O33" s="50">
        <f t="shared" si="29"/>
        <v>0.31368288638572817</v>
      </c>
      <c r="P33" s="44">
        <f>P31/K31-1</f>
        <v>0.26780987116889232</v>
      </c>
      <c r="Q33" s="50">
        <f>Q31/L31-1</f>
        <v>-1.0453120029086826E-2</v>
      </c>
      <c r="R33" s="50">
        <f t="shared" ref="R33:V33" si="30">R31/M31-1</f>
        <v>7.2828593389700158E-2</v>
      </c>
      <c r="S33" s="50">
        <f t="shared" si="30"/>
        <v>2.5413078892250196E-2</v>
      </c>
      <c r="T33" s="50">
        <f t="shared" si="30"/>
        <v>2.1806311207834606E-2</v>
      </c>
      <c r="U33" s="44">
        <f>U31/P31-1</f>
        <v>3.9510010904113102E-2</v>
      </c>
      <c r="V33" s="311">
        <f t="shared" si="30"/>
        <v>0.11753088687824342</v>
      </c>
      <c r="W33" s="122">
        <f>W31/R31-1</f>
        <v>0.12170399202937476</v>
      </c>
      <c r="X33" s="122">
        <f t="shared" ref="X33:Y33" si="31">X31/S31-1</f>
        <v>-3.3507262493758572E-2</v>
      </c>
      <c r="Y33" s="122">
        <f t="shared" si="31"/>
        <v>9.7866296059805791E-2</v>
      </c>
      <c r="Z33" s="123">
        <f>Z31/U31-1</f>
        <v>7.6286705087488249E-2</v>
      </c>
      <c r="AA33" s="123">
        <f ca="1">AA31/Z31-1</f>
        <v>0.11957093460275137</v>
      </c>
      <c r="AB33" s="123">
        <f t="shared" ref="AB33:AC33" ca="1" si="32">AB31/AA31-1</f>
        <v>0.12261546847497762</v>
      </c>
      <c r="AC33" s="123">
        <f t="shared" ca="1" si="32"/>
        <v>0.12325154751607581</v>
      </c>
      <c r="AD33" s="123"/>
      <c r="AE33" s="123"/>
      <c r="AF33" s="123"/>
    </row>
    <row r="34" spans="1:32" s="35" customFormat="1" ht="15" customHeight="1">
      <c r="A34" s="34"/>
      <c r="B34" s="38"/>
      <c r="C34" s="38"/>
      <c r="D34" s="44"/>
      <c r="E34" s="44"/>
      <c r="F34" s="44"/>
      <c r="G34" s="50"/>
      <c r="H34" s="50"/>
      <c r="I34" s="50"/>
      <c r="J34" s="50"/>
      <c r="K34" s="44"/>
      <c r="L34" s="50"/>
      <c r="M34" s="50"/>
      <c r="N34" s="50"/>
      <c r="O34" s="50"/>
      <c r="P34" s="44"/>
      <c r="Q34" s="50"/>
      <c r="R34" s="50"/>
      <c r="S34" s="50"/>
      <c r="T34" s="50"/>
      <c r="U34" s="44"/>
      <c r="V34" s="311"/>
      <c r="W34" s="122"/>
      <c r="X34" s="122"/>
      <c r="Y34" s="122"/>
      <c r="Z34" s="123"/>
      <c r="AA34" s="123"/>
      <c r="AB34" s="123"/>
      <c r="AC34" s="123"/>
    </row>
    <row r="35" spans="1:32" ht="15" customHeight="1">
      <c r="A35" s="3" t="s">
        <v>71</v>
      </c>
      <c r="B35" s="10"/>
      <c r="C35" s="10"/>
      <c r="D35" s="10">
        <f t="shared" ref="D35:F35" si="33">D17+D18+D20+D21+D22</f>
        <v>-479.34498100000002</v>
      </c>
      <c r="E35" s="10">
        <f t="shared" si="33"/>
        <v>-540.19298400000002</v>
      </c>
      <c r="F35" s="10">
        <f t="shared" si="33"/>
        <v>-721.04800999999998</v>
      </c>
      <c r="G35" s="21">
        <f t="shared" ref="G35:L35" si="34">G17+G18+G20+G21+G22</f>
        <v>-152.617999</v>
      </c>
      <c r="H35" s="21">
        <f t="shared" si="34"/>
        <v>-252.50101299999997</v>
      </c>
      <c r="I35" s="21">
        <f t="shared" si="34"/>
        <v>-247.43700399999997</v>
      </c>
      <c r="J35" s="21">
        <f t="shared" si="34"/>
        <v>-190.432005</v>
      </c>
      <c r="K35" s="14">
        <f t="shared" si="34"/>
        <v>-847.221</v>
      </c>
      <c r="L35" s="21">
        <f t="shared" si="34"/>
        <v>-142.07099299999999</v>
      </c>
      <c r="M35" s="21">
        <f t="shared" ref="M35:O35" si="35">M17+M18+M20+M21+M22</f>
        <v>-241.26999299999997</v>
      </c>
      <c r="N35" s="21">
        <f t="shared" si="35"/>
        <v>-229.63900799999999</v>
      </c>
      <c r="O35" s="21">
        <f t="shared" si="35"/>
        <v>-216.10099700000001</v>
      </c>
      <c r="P35" s="14">
        <f>P17+P18+P20+P21</f>
        <v>-835.54599999999994</v>
      </c>
      <c r="Q35" s="21">
        <f>Q17+Q18+Q20</f>
        <v>-123.36900199999999</v>
      </c>
      <c r="R35" s="21">
        <f t="shared" ref="R35:S35" si="36">R17+R18+R20</f>
        <v>-235.21099100000001</v>
      </c>
      <c r="S35" s="21">
        <f t="shared" si="36"/>
        <v>-244.23601299999999</v>
      </c>
      <c r="T35" s="21">
        <f>T23+T31</f>
        <v>-191.049003</v>
      </c>
      <c r="U35" s="14">
        <f>U23+U31</f>
        <v>-794.64800000000002</v>
      </c>
      <c r="V35" s="76">
        <f>V17+V18+V20</f>
        <v>-154.41399999999999</v>
      </c>
      <c r="W35" s="102">
        <f t="shared" ref="W35:Y35" si="37">W23+W31</f>
        <v>-257.11701125150239</v>
      </c>
      <c r="X35" s="102">
        <f t="shared" si="37"/>
        <v>-234.64551173459441</v>
      </c>
      <c r="Y35" s="102">
        <f t="shared" si="37"/>
        <v>-221.34507621007566</v>
      </c>
      <c r="Z35" s="105">
        <f>SUM(V35:Y35)</f>
        <v>-867.52159919617247</v>
      </c>
      <c r="AA35" s="144">
        <f ca="1">AA23+AA31</f>
        <v>-942.5970162064981</v>
      </c>
      <c r="AB35" s="144">
        <f t="shared" ref="AB35:AC35" ca="1" si="38">AB23+AB31</f>
        <v>-1045.4653692893964</v>
      </c>
      <c r="AC35" s="144">
        <f t="shared" ca="1" si="38"/>
        <v>-1165.9752216332311</v>
      </c>
    </row>
    <row r="36" spans="1:32" ht="15" customHeight="1">
      <c r="A36" s="3"/>
      <c r="B36" s="10"/>
      <c r="C36" s="10"/>
      <c r="D36" s="13">
        <f>-D35/D4</f>
        <v>0.60355473246680735</v>
      </c>
      <c r="E36" s="13">
        <f t="shared" ref="E36:AC36" si="39">-E35/E4</f>
        <v>0.60070902912270308</v>
      </c>
      <c r="F36" s="13">
        <f t="shared" si="39"/>
        <v>0.61158940791874061</v>
      </c>
      <c r="G36" s="20">
        <f t="shared" si="39"/>
        <v>0.58765226446155638</v>
      </c>
      <c r="H36" s="20">
        <f t="shared" si="39"/>
        <v>0.63721848257790459</v>
      </c>
      <c r="I36" s="20">
        <f t="shared" si="39"/>
        <v>0.62643707294422202</v>
      </c>
      <c r="J36" s="20">
        <f t="shared" si="39"/>
        <v>0.62512149700732844</v>
      </c>
      <c r="K36" s="13">
        <f t="shared" si="39"/>
        <v>0.62498506227195116</v>
      </c>
      <c r="L36" s="20">
        <f t="shared" si="39"/>
        <v>0.65694833985709244</v>
      </c>
      <c r="M36" s="20">
        <f t="shared" si="39"/>
        <v>0.63880093288503081</v>
      </c>
      <c r="N36" s="20">
        <f t="shared" si="39"/>
        <v>0.59253573747894706</v>
      </c>
      <c r="O36" s="20">
        <f t="shared" si="39"/>
        <v>0.55579815008390232</v>
      </c>
      <c r="P36" s="13">
        <f t="shared" si="39"/>
        <v>0.60974694442926336</v>
      </c>
      <c r="Q36" s="20">
        <f t="shared" si="39"/>
        <v>0.51308829498760622</v>
      </c>
      <c r="R36" s="20">
        <f t="shared" si="39"/>
        <v>0.5621570252518362</v>
      </c>
      <c r="S36" s="20">
        <f t="shared" si="39"/>
        <v>0.56227772469950654</v>
      </c>
      <c r="T36" s="20">
        <f t="shared" si="39"/>
        <v>0.54863353067491982</v>
      </c>
      <c r="U36" s="13">
        <f t="shared" si="39"/>
        <v>0.55128454930437387</v>
      </c>
      <c r="V36" s="79">
        <f t="shared" si="39"/>
        <v>0.54098917769392729</v>
      </c>
      <c r="W36" s="101">
        <f t="shared" si="39"/>
        <v>0.56453076699132843</v>
      </c>
      <c r="X36" s="101">
        <f t="shared" si="39"/>
        <v>0.55099727420695299</v>
      </c>
      <c r="Y36" s="101">
        <f t="shared" si="39"/>
        <v>0.54104932748033119</v>
      </c>
      <c r="Z36" s="106">
        <f t="shared" si="39"/>
        <v>0.55051342182470053</v>
      </c>
      <c r="AA36" s="106">
        <f t="shared" ca="1" si="39"/>
        <v>0.54121769729306979</v>
      </c>
      <c r="AB36" s="106">
        <f t="shared" ca="1" si="39"/>
        <v>0.53471769729306995</v>
      </c>
      <c r="AC36" s="106">
        <f t="shared" ca="1" si="39"/>
        <v>0.53091769729306992</v>
      </c>
    </row>
    <row r="37" spans="1:32" ht="15" customHeight="1">
      <c r="A37" s="3"/>
      <c r="B37" s="10"/>
      <c r="C37" s="10"/>
      <c r="D37" s="13"/>
      <c r="E37" s="13"/>
      <c r="F37" s="13"/>
      <c r="G37" s="20"/>
      <c r="H37" s="20"/>
      <c r="I37" s="20"/>
      <c r="J37" s="20"/>
      <c r="K37" s="13"/>
      <c r="L37" s="20"/>
      <c r="M37" s="20"/>
      <c r="N37" s="20"/>
      <c r="O37" s="20"/>
      <c r="P37" s="13"/>
      <c r="Q37" s="20"/>
      <c r="R37" s="20"/>
      <c r="S37" s="20"/>
      <c r="T37" s="20"/>
      <c r="U37" s="13"/>
      <c r="V37" s="313">
        <f>(V36-Q36)*10000</f>
        <v>279.00882706321073</v>
      </c>
      <c r="W37" s="129">
        <f t="shared" ref="W37:Y37" si="40">(W36-R36)*10000</f>
        <v>23.7374173949223</v>
      </c>
      <c r="X37" s="129">
        <f t="shared" si="40"/>
        <v>-112.80450492553551</v>
      </c>
      <c r="Y37" s="129">
        <f t="shared" si="40"/>
        <v>-75.842031945886347</v>
      </c>
      <c r="Z37" s="130">
        <f>(Z36-U36)*10000</f>
        <v>-7.7112747967333917</v>
      </c>
      <c r="AA37" s="130">
        <f ca="1">(AA36-Z36)*10000</f>
        <v>-92.95724531630745</v>
      </c>
      <c r="AB37" s="130">
        <v>-70</v>
      </c>
      <c r="AC37" s="130">
        <v>-50</v>
      </c>
    </row>
    <row r="38" spans="1:32" ht="15" customHeight="1" thickBot="1">
      <c r="A38" s="3"/>
      <c r="B38" s="10"/>
      <c r="C38" s="10"/>
      <c r="D38" s="10"/>
      <c r="E38" s="10"/>
      <c r="F38" s="10"/>
      <c r="G38" s="21"/>
      <c r="H38" s="21"/>
      <c r="I38" s="21"/>
      <c r="J38" s="21"/>
      <c r="K38" s="14"/>
      <c r="L38" s="21"/>
      <c r="M38" s="21"/>
      <c r="N38" s="21"/>
      <c r="O38" s="21"/>
      <c r="P38" s="14"/>
      <c r="Q38" s="21"/>
      <c r="R38" s="21"/>
      <c r="S38" s="21"/>
      <c r="T38" s="21"/>
      <c r="U38" s="14"/>
      <c r="V38" s="76"/>
      <c r="W38" s="102"/>
      <c r="X38" s="102"/>
      <c r="Y38" s="102"/>
    </row>
    <row r="39" spans="1:32" s="12" customFormat="1" ht="15" customHeight="1" thickBot="1">
      <c r="A39" s="7" t="s">
        <v>22</v>
      </c>
      <c r="B39" s="8">
        <v>168.98800700000001</v>
      </c>
      <c r="C39" s="8">
        <v>202.03599500000001</v>
      </c>
      <c r="D39" s="8">
        <v>253.19700599999999</v>
      </c>
      <c r="E39" s="8">
        <v>296.04998799999998</v>
      </c>
      <c r="F39" s="8">
        <v>389.95098899999999</v>
      </c>
      <c r="G39" s="27">
        <v>88.609001000000006</v>
      </c>
      <c r="H39" s="27">
        <v>122.459999</v>
      </c>
      <c r="I39" s="27">
        <v>126.387001</v>
      </c>
      <c r="J39" s="27">
        <v>71.863997999999995</v>
      </c>
      <c r="K39" s="26">
        <v>398.665009</v>
      </c>
      <c r="L39" s="27">
        <v>47.578999000000003</v>
      </c>
      <c r="M39" s="27">
        <v>110.87400100000001</v>
      </c>
      <c r="N39" s="27">
        <v>131.91400100000001</v>
      </c>
      <c r="O39" s="27">
        <v>145.29299900000001</v>
      </c>
      <c r="P39" s="26">
        <v>430.26800500000002</v>
      </c>
      <c r="Q39" s="27">
        <v>91.432998999999995</v>
      </c>
      <c r="R39" s="27">
        <v>157.07299800000001</v>
      </c>
      <c r="S39" s="27">
        <v>164.324005</v>
      </c>
      <c r="T39" s="27">
        <v>129.746002</v>
      </c>
      <c r="U39" s="26">
        <v>541.79303000000004</v>
      </c>
      <c r="V39" s="70"/>
      <c r="W39" s="109"/>
      <c r="X39" s="109"/>
      <c r="Y39" s="109"/>
      <c r="Z39" s="100"/>
      <c r="AA39" s="100"/>
      <c r="AB39" s="100"/>
      <c r="AC39" s="100"/>
    </row>
    <row r="40" spans="1:32" ht="15" customHeight="1" thickBot="1">
      <c r="A40" s="4" t="s">
        <v>21</v>
      </c>
      <c r="B40" s="13">
        <f t="shared" ref="B40:U40" si="41">B39/B4</f>
        <v>0.26711939831476578</v>
      </c>
      <c r="C40" s="13">
        <f t="shared" si="41"/>
        <v>0.29632519132930435</v>
      </c>
      <c r="D40" s="13">
        <f t="shared" si="41"/>
        <v>0.31880640723288728</v>
      </c>
      <c r="E40" s="13">
        <f t="shared" si="41"/>
        <v>0.32921549544462037</v>
      </c>
      <c r="F40" s="13">
        <f t="shared" si="41"/>
        <v>0.33075452837022234</v>
      </c>
      <c r="G40" s="20">
        <f t="shared" si="41"/>
        <v>0.34118701876917096</v>
      </c>
      <c r="H40" s="20">
        <f t="shared" si="41"/>
        <v>0.309043412587306</v>
      </c>
      <c r="I40" s="20">
        <f t="shared" si="41"/>
        <v>0.31997438412501333</v>
      </c>
      <c r="J40" s="20">
        <f t="shared" si="41"/>
        <v>0.23590430616267288</v>
      </c>
      <c r="K40" s="13">
        <f t="shared" si="41"/>
        <v>0.29409053301973503</v>
      </c>
      <c r="L40" s="20">
        <f t="shared" si="41"/>
        <v>0.22000933297560796</v>
      </c>
      <c r="M40" s="20">
        <f t="shared" si="41"/>
        <v>0.2935566681576347</v>
      </c>
      <c r="N40" s="20">
        <f t="shared" si="41"/>
        <v>0.34037666573761532</v>
      </c>
      <c r="O40" s="20">
        <f t="shared" si="41"/>
        <v>0.37368444007846141</v>
      </c>
      <c r="P40" s="13">
        <f t="shared" si="41"/>
        <v>0.31399181054594844</v>
      </c>
      <c r="Q40" s="20">
        <f t="shared" si="41"/>
        <v>0.38026733459766099</v>
      </c>
      <c r="R40" s="20">
        <f t="shared" si="41"/>
        <v>0.37540630617498488</v>
      </c>
      <c r="S40" s="20">
        <f t="shared" si="41"/>
        <v>0.37830509313509941</v>
      </c>
      <c r="T40" s="20">
        <f t="shared" si="41"/>
        <v>0.37259030955641892</v>
      </c>
      <c r="U40" s="13">
        <f t="shared" si="41"/>
        <v>0.37586720958185399</v>
      </c>
    </row>
    <row r="41" spans="1:32" s="12" customFormat="1" ht="15" customHeight="1" thickBot="1">
      <c r="A41" s="7" t="s">
        <v>66</v>
      </c>
      <c r="B41" s="40"/>
      <c r="C41" s="40"/>
      <c r="D41" s="41">
        <f t="shared" ref="D41:U41" si="42">D4+D23</f>
        <v>285.96002199999992</v>
      </c>
      <c r="E41" s="41">
        <f t="shared" si="42"/>
        <v>321.48998799999993</v>
      </c>
      <c r="F41" s="41">
        <f t="shared" si="42"/>
        <v>411.92298900000003</v>
      </c>
      <c r="G41" s="49">
        <f t="shared" si="42"/>
        <v>93.50900900000002</v>
      </c>
      <c r="H41" s="49">
        <f t="shared" si="42"/>
        <v>129.16799200000003</v>
      </c>
      <c r="I41" s="49">
        <f t="shared" si="42"/>
        <v>131.91099300000002</v>
      </c>
      <c r="J41" s="49">
        <f t="shared" si="42"/>
        <v>96.710983999999996</v>
      </c>
      <c r="K41" s="42">
        <f t="shared" si="42"/>
        <v>440.3689989999998</v>
      </c>
      <c r="L41" s="49">
        <f t="shared" si="42"/>
        <v>52.185010000000005</v>
      </c>
      <c r="M41" s="49">
        <f t="shared" si="42"/>
        <v>115.60599299999996</v>
      </c>
      <c r="N41" s="49">
        <f t="shared" si="42"/>
        <v>136.42900099999997</v>
      </c>
      <c r="O41" s="49">
        <f t="shared" si="42"/>
        <v>149.73601499999998</v>
      </c>
      <c r="P41" s="41">
        <f t="shared" si="42"/>
        <v>448.56401000000005</v>
      </c>
      <c r="Q41" s="49">
        <f t="shared" si="42"/>
        <v>95.301997999999998</v>
      </c>
      <c r="R41" s="49">
        <f t="shared" si="42"/>
        <v>160.86499899999995</v>
      </c>
      <c r="S41" s="49">
        <f t="shared" si="42"/>
        <v>168.10198700000007</v>
      </c>
      <c r="T41" s="49">
        <f t="shared" si="42"/>
        <v>133.701987</v>
      </c>
      <c r="U41" s="41">
        <f t="shared" si="42"/>
        <v>557.18797999999992</v>
      </c>
      <c r="V41" s="314">
        <f>V4+V23</f>
        <v>106.68300000000005</v>
      </c>
      <c r="W41" s="125">
        <f t="shared" ref="W41:Y41" si="43">W4+W23</f>
        <v>173.28570519849762</v>
      </c>
      <c r="X41" s="125">
        <f t="shared" si="43"/>
        <v>169.91771676540563</v>
      </c>
      <c r="Y41" s="125">
        <f t="shared" si="43"/>
        <v>161.98473472362437</v>
      </c>
      <c r="Z41" s="142">
        <f>SUM(V41:Y41)</f>
        <v>611.87115668752767</v>
      </c>
      <c r="AA41" s="138">
        <f ca="1">AA4+AA23</f>
        <v>691.04505725830222</v>
      </c>
      <c r="AB41" s="138">
        <f t="shared" ref="AB41:AC41" ca="1" si="44">AB4+AB23</f>
        <v>788.4864923337243</v>
      </c>
      <c r="AC41" s="138">
        <f t="shared" ca="1" si="44"/>
        <v>894.01404500492708</v>
      </c>
    </row>
    <row r="42" spans="1:32" ht="15" customHeight="1">
      <c r="A42" s="4" t="s">
        <v>49</v>
      </c>
      <c r="B42" s="13"/>
      <c r="C42" s="13"/>
      <c r="D42" s="13"/>
      <c r="E42" s="13"/>
      <c r="F42" s="13"/>
      <c r="G42" s="20">
        <f t="shared" ref="G42:U42" si="45">G41/G4</f>
        <v>0.3600543923158504</v>
      </c>
      <c r="H42" s="20">
        <f t="shared" si="45"/>
        <v>0.32597188772416902</v>
      </c>
      <c r="I42" s="20">
        <f t="shared" si="45"/>
        <v>0.33395949275269182</v>
      </c>
      <c r="J42" s="20">
        <f t="shared" si="45"/>
        <v>0.31746824854956385</v>
      </c>
      <c r="K42" s="13">
        <f t="shared" si="45"/>
        <v>0.32485508062554119</v>
      </c>
      <c r="L42" s="20">
        <f t="shared" si="45"/>
        <v>0.24130791909736124</v>
      </c>
      <c r="M42" s="20">
        <f t="shared" si="45"/>
        <v>0.30608537455173845</v>
      </c>
      <c r="N42" s="20">
        <f t="shared" si="45"/>
        <v>0.35202668494827755</v>
      </c>
      <c r="O42" s="20">
        <f t="shared" si="45"/>
        <v>0.38511159732379868</v>
      </c>
      <c r="P42" s="13">
        <f t="shared" si="45"/>
        <v>0.32734347896876725</v>
      </c>
      <c r="Q42" s="20">
        <f t="shared" si="45"/>
        <v>0.3963583953020246</v>
      </c>
      <c r="R42" s="20">
        <f t="shared" si="45"/>
        <v>0.38446923300867164</v>
      </c>
      <c r="S42" s="20">
        <f t="shared" si="45"/>
        <v>0.38700272579304706</v>
      </c>
      <c r="T42" s="20">
        <f t="shared" si="45"/>
        <v>0.38395067251966886</v>
      </c>
      <c r="U42" s="13">
        <f t="shared" si="45"/>
        <v>0.38654740769764023</v>
      </c>
      <c r="V42" s="79">
        <f>V41/V4</f>
        <v>0.37376370305750306</v>
      </c>
      <c r="W42" s="101">
        <f t="shared" ref="W42:Z42" si="46">W41/W4</f>
        <v>0.38046923300867158</v>
      </c>
      <c r="X42" s="101">
        <f t="shared" si="46"/>
        <v>0.39900272579304702</v>
      </c>
      <c r="Y42" s="101">
        <f t="shared" si="46"/>
        <v>0.39595067251966887</v>
      </c>
      <c r="Z42" s="106">
        <f t="shared" si="46"/>
        <v>0.38828230270693015</v>
      </c>
      <c r="AA42" s="106">
        <f t="shared" ref="AA42" ca="1" si="47">AA41/AA4</f>
        <v>0.39678230270693021</v>
      </c>
      <c r="AB42" s="106">
        <f t="shared" ref="AB42" ca="1" si="48">AB41/AB4</f>
        <v>0.40328230270693011</v>
      </c>
      <c r="AC42" s="106">
        <f t="shared" ref="AC42" ca="1" si="49">AC41/AC4</f>
        <v>0.40708230270693008</v>
      </c>
    </row>
    <row r="43" spans="1:32" ht="15" customHeight="1">
      <c r="A43" s="4"/>
      <c r="B43" s="13"/>
      <c r="C43" s="13"/>
      <c r="G43" s="20"/>
      <c r="H43" s="20"/>
      <c r="I43" s="20"/>
      <c r="J43" s="20"/>
      <c r="K43" s="13"/>
      <c r="L43" s="20"/>
      <c r="M43" s="20"/>
      <c r="N43" s="20"/>
      <c r="O43" s="20"/>
      <c r="P43" s="13"/>
      <c r="Q43" s="20"/>
      <c r="R43" s="20"/>
      <c r="S43" s="20"/>
      <c r="T43" s="20"/>
      <c r="U43" s="13"/>
    </row>
    <row r="44" spans="1:32" ht="15" customHeight="1">
      <c r="A44" s="4" t="s">
        <v>24</v>
      </c>
      <c r="B44" s="10"/>
      <c r="C44" s="10"/>
      <c r="D44" s="10"/>
      <c r="E44" s="10"/>
      <c r="F44" s="10"/>
      <c r="G44" s="19"/>
      <c r="H44" s="19"/>
      <c r="I44" s="19"/>
      <c r="J44" s="19"/>
      <c r="K44" s="10"/>
      <c r="L44" s="19"/>
      <c r="M44" s="19"/>
      <c r="N44" s="19"/>
      <c r="O44" s="19"/>
      <c r="P44" s="10"/>
      <c r="Q44" s="19"/>
      <c r="R44" s="19"/>
      <c r="S44" s="19"/>
      <c r="T44" s="19"/>
      <c r="U44" s="10"/>
    </row>
    <row r="45" spans="1:32" ht="15" customHeight="1">
      <c r="A45" s="3" t="s">
        <v>23</v>
      </c>
      <c r="B45" s="14">
        <v>-147.003006</v>
      </c>
      <c r="C45" s="14">
        <v>-144.68800400000001</v>
      </c>
      <c r="D45" s="14">
        <v>-183.57200599999999</v>
      </c>
      <c r="E45" s="14">
        <v>-308.27499399999999</v>
      </c>
      <c r="F45" s="14">
        <v>-244.20500200000001</v>
      </c>
      <c r="G45" s="21">
        <v>-63.168998999999999</v>
      </c>
      <c r="H45" s="21">
        <v>-70.821999000000005</v>
      </c>
      <c r="I45" s="21">
        <v>-78.736999999999995</v>
      </c>
      <c r="J45" s="21">
        <v>-67.477997000000002</v>
      </c>
      <c r="K45" s="14">
        <v>-279.88900799999999</v>
      </c>
      <c r="L45" s="21">
        <v>-73.444000000000003</v>
      </c>
      <c r="M45" s="21">
        <v>-74.210999000000001</v>
      </c>
      <c r="N45" s="21">
        <v>-72.489998</v>
      </c>
      <c r="O45" s="21">
        <v>-84.950996000000004</v>
      </c>
      <c r="P45" s="14">
        <v>-305.16198700000001</v>
      </c>
      <c r="Q45" s="21">
        <v>-77.246002000000004</v>
      </c>
      <c r="R45" s="21">
        <v>-83.197997999999998</v>
      </c>
      <c r="S45" s="21">
        <v>-88.597999999999999</v>
      </c>
      <c r="T45" s="21">
        <v>-78.727997000000002</v>
      </c>
      <c r="U45" s="14">
        <v>-327.76998900000001</v>
      </c>
      <c r="V45" s="63">
        <v>-74.887</v>
      </c>
    </row>
    <row r="46" spans="1:32" s="35" customFormat="1" ht="15" customHeight="1">
      <c r="A46" s="16" t="s">
        <v>52</v>
      </c>
      <c r="B46" s="36"/>
      <c r="C46" s="36"/>
      <c r="D46" s="36">
        <v>3.6819999999999999</v>
      </c>
      <c r="E46" s="36">
        <v>120.517</v>
      </c>
      <c r="F46" s="36">
        <v>22.67</v>
      </c>
      <c r="G46" s="37">
        <v>4.016</v>
      </c>
      <c r="H46" s="37">
        <v>4.9279999999999999</v>
      </c>
      <c r="I46" s="37">
        <v>4.9029999999999996</v>
      </c>
      <c r="J46" s="37">
        <v>4.2590000000000003</v>
      </c>
      <c r="K46" s="36">
        <v>18.105</v>
      </c>
      <c r="L46" s="37">
        <v>3.9569999999999999</v>
      </c>
      <c r="M46" s="37">
        <v>5.6260000000000003</v>
      </c>
      <c r="N46" s="37">
        <v>4.1639999999999997</v>
      </c>
      <c r="O46" s="37">
        <v>4.9569999999999999</v>
      </c>
      <c r="P46" s="36">
        <v>18.704000000000001</v>
      </c>
      <c r="Q46" s="37">
        <v>8.468</v>
      </c>
      <c r="R46" s="37">
        <v>6.2990000000000004</v>
      </c>
      <c r="S46" s="37">
        <v>5.8280000000000003</v>
      </c>
      <c r="T46" s="37">
        <v>5.24</v>
      </c>
      <c r="U46" s="36">
        <v>25.835000000000001</v>
      </c>
      <c r="V46" s="315">
        <v>4.8899999999999997</v>
      </c>
      <c r="W46" s="133">
        <f>W4*W47</f>
        <v>6.8317891499999996</v>
      </c>
      <c r="X46" s="133">
        <f t="shared" ref="X46:Y46" si="50">X4*X47</f>
        <v>5.7490564050000001</v>
      </c>
      <c r="Y46" s="133">
        <f t="shared" si="50"/>
        <v>6.1365498015000002</v>
      </c>
      <c r="Z46" s="143">
        <f>SUM(V46:Y46)</f>
        <v>23.6073953565</v>
      </c>
      <c r="AA46" s="143">
        <f ca="1">AA47*AA4</f>
        <v>26.124340194000002</v>
      </c>
      <c r="AB46" s="143">
        <f t="shared" ref="AB46:AC46" ca="1" si="51">AB47*AB4</f>
        <v>29.327588405487003</v>
      </c>
      <c r="AC46" s="143">
        <f t="shared" ca="1" si="51"/>
        <v>32.942259061377797</v>
      </c>
    </row>
    <row r="47" spans="1:32" s="35" customFormat="1" ht="15" customHeight="1">
      <c r="A47" s="16" t="s">
        <v>237</v>
      </c>
      <c r="B47" s="36"/>
      <c r="C47" s="36"/>
      <c r="D47" s="44">
        <f t="shared" ref="D47:T47" si="52">D46/D4</f>
        <v>4.6360942807968705E-3</v>
      </c>
      <c r="E47" s="44">
        <f t="shared" si="52"/>
        <v>0.13401812353560816</v>
      </c>
      <c r="F47" s="44">
        <f t="shared" si="52"/>
        <v>1.9228583513485949E-2</v>
      </c>
      <c r="G47" s="50">
        <f t="shared" si="52"/>
        <v>1.5463520092919122E-2</v>
      </c>
      <c r="H47" s="50">
        <f t="shared" si="52"/>
        <v>1.2436435976373346E-2</v>
      </c>
      <c r="I47" s="50">
        <f t="shared" si="52"/>
        <v>1.2412941148630787E-2</v>
      </c>
      <c r="J47" s="50">
        <f t="shared" si="52"/>
        <v>1.3980803572142257E-2</v>
      </c>
      <c r="K47" s="44">
        <f t="shared" si="52"/>
        <v>1.3355847591636274E-2</v>
      </c>
      <c r="L47" s="50">
        <f t="shared" si="52"/>
        <v>1.8297504127492901E-2</v>
      </c>
      <c r="M47" s="50">
        <f t="shared" si="52"/>
        <v>1.4895735701418882E-2</v>
      </c>
      <c r="N47" s="50">
        <f t="shared" si="52"/>
        <v>1.0744336654085945E-2</v>
      </c>
      <c r="O47" s="50">
        <f t="shared" si="52"/>
        <v>1.2749091712732374E-2</v>
      </c>
      <c r="P47" s="44">
        <f t="shared" si="52"/>
        <v>1.3649406314679197E-2</v>
      </c>
      <c r="Q47" s="50">
        <f t="shared" si="52"/>
        <v>3.5218179700886691E-2</v>
      </c>
      <c r="R47" s="50">
        <f t="shared" si="52"/>
        <v>1.5054683826664019E-2</v>
      </c>
      <c r="S47" s="50">
        <f t="shared" si="52"/>
        <v>1.3417163747873351E-2</v>
      </c>
      <c r="T47" s="50">
        <f t="shared" si="52"/>
        <v>1.5047656127975607E-2</v>
      </c>
      <c r="U47" s="44">
        <f>U46/U4</f>
        <v>1.7922949949258662E-2</v>
      </c>
      <c r="V47" s="311">
        <f>V46/V4</f>
        <v>1.7132106408248634E-2</v>
      </c>
      <c r="W47" s="122">
        <v>1.4999999999999999E-2</v>
      </c>
      <c r="X47" s="122">
        <v>1.35E-2</v>
      </c>
      <c r="Y47" s="122">
        <v>1.4999999999999999E-2</v>
      </c>
      <c r="Z47" s="123">
        <f t="shared" ref="Z47" si="53">Z46/Z4</f>
        <v>1.4980823543894885E-2</v>
      </c>
      <c r="AA47" s="123">
        <v>1.4999999999999999E-2</v>
      </c>
      <c r="AB47" s="123">
        <v>1.4999999999999999E-2</v>
      </c>
      <c r="AC47" s="123">
        <v>1.4999999999999999E-2</v>
      </c>
    </row>
    <row r="48" spans="1:32" s="35" customFormat="1" ht="15" customHeight="1">
      <c r="A48" s="16" t="s">
        <v>186</v>
      </c>
      <c r="B48" s="36"/>
      <c r="C48" s="36"/>
      <c r="D48" s="36">
        <f>D46-D50</f>
        <v>0</v>
      </c>
      <c r="E48" s="36">
        <f t="shared" ref="E48:U48" si="54">E46-E50</f>
        <v>0</v>
      </c>
      <c r="F48" s="36">
        <f t="shared" si="54"/>
        <v>3.924000000000003</v>
      </c>
      <c r="G48" s="37">
        <f t="shared" si="54"/>
        <v>2.056</v>
      </c>
      <c r="H48" s="37">
        <f t="shared" si="54"/>
        <v>3.1239999999999997</v>
      </c>
      <c r="I48" s="37">
        <f t="shared" si="54"/>
        <v>3.4429999999999996</v>
      </c>
      <c r="J48" s="37">
        <f t="shared" si="54"/>
        <v>2.9290000000000003</v>
      </c>
      <c r="K48" s="36">
        <f t="shared" si="54"/>
        <v>11.551</v>
      </c>
      <c r="L48" s="37">
        <f t="shared" si="54"/>
        <v>2.698</v>
      </c>
      <c r="M48" s="37">
        <f t="shared" si="54"/>
        <v>4.5250000000000004</v>
      </c>
      <c r="N48" s="37">
        <f t="shared" si="54"/>
        <v>3.1019999999999994</v>
      </c>
      <c r="O48" s="37">
        <f t="shared" si="54"/>
        <v>4.0529999999999999</v>
      </c>
      <c r="P48" s="36">
        <f t="shared" si="54"/>
        <v>14.378</v>
      </c>
      <c r="Q48" s="37">
        <f t="shared" si="54"/>
        <v>5.5430000000000001</v>
      </c>
      <c r="R48" s="37">
        <f t="shared" si="54"/>
        <v>5.5120000000000005</v>
      </c>
      <c r="S48" s="37">
        <f t="shared" si="54"/>
        <v>5.3530000000000006</v>
      </c>
      <c r="T48" s="37">
        <f t="shared" si="54"/>
        <v>5.2309999999999999</v>
      </c>
      <c r="U48" s="36">
        <f t="shared" si="54"/>
        <v>21.638000000000002</v>
      </c>
      <c r="V48" s="316">
        <f>V46-V50</f>
        <v>4.8</v>
      </c>
      <c r="W48" s="124">
        <f t="shared" ref="W48:Y48" si="55">W46-W50</f>
        <v>5.8317891499999996</v>
      </c>
      <c r="X48" s="124">
        <f t="shared" si="55"/>
        <v>4.9490564050000003</v>
      </c>
      <c r="Y48" s="124">
        <f t="shared" si="55"/>
        <v>5.6365498015000002</v>
      </c>
      <c r="Z48" s="132">
        <f>SUM(V48:Y48)</f>
        <v>21.217395356499999</v>
      </c>
      <c r="AA48" s="132">
        <f ca="1">AA46-AA50</f>
        <v>21.824340194000001</v>
      </c>
      <c r="AB48" s="132">
        <f t="shared" ref="AB48:AC48" ca="1" si="56">AB46-AB50</f>
        <v>25.027588405487002</v>
      </c>
      <c r="AC48" s="132">
        <f t="shared" ca="1" si="56"/>
        <v>28.642259061377796</v>
      </c>
    </row>
    <row r="49" spans="1:29" s="35" customFormat="1" ht="15" customHeight="1">
      <c r="A49" s="16" t="s">
        <v>187</v>
      </c>
      <c r="B49" s="36"/>
      <c r="C49" s="36"/>
      <c r="D49" s="44">
        <f>D48/D4</f>
        <v>0</v>
      </c>
      <c r="E49" s="44">
        <f t="shared" ref="E49:U49" si="57">E48/E4</f>
        <v>0</v>
      </c>
      <c r="F49" s="44">
        <f t="shared" si="57"/>
        <v>3.3283176756470629E-3</v>
      </c>
      <c r="G49" s="50">
        <f t="shared" si="57"/>
        <v>7.9165829957773201E-3</v>
      </c>
      <c r="H49" s="50">
        <f t="shared" si="57"/>
        <v>7.8838120921652446E-3</v>
      </c>
      <c r="I49" s="50">
        <f t="shared" si="57"/>
        <v>8.7166543697197226E-3</v>
      </c>
      <c r="J49" s="50">
        <f t="shared" si="57"/>
        <v>9.614879939611333E-3</v>
      </c>
      <c r="K49" s="44">
        <f t="shared" si="57"/>
        <v>8.5210381403474506E-3</v>
      </c>
      <c r="L49" s="50">
        <f t="shared" si="57"/>
        <v>1.2475781181697208E-2</v>
      </c>
      <c r="M49" s="50">
        <f t="shared" si="57"/>
        <v>1.1980661935463996E-2</v>
      </c>
      <c r="N49" s="50">
        <f t="shared" si="57"/>
        <v>8.0040663547009117E-3</v>
      </c>
      <c r="O49" s="50">
        <f t="shared" si="57"/>
        <v>1.0424060664051707E-2</v>
      </c>
      <c r="P49" s="44">
        <f t="shared" si="57"/>
        <v>1.049247027333498E-2</v>
      </c>
      <c r="Q49" s="50">
        <f t="shared" si="57"/>
        <v>2.3053184941192129E-2</v>
      </c>
      <c r="R49" s="50">
        <f t="shared" si="57"/>
        <v>1.3173744602726158E-2</v>
      </c>
      <c r="S49" s="50">
        <f t="shared" si="57"/>
        <v>1.2323623463000352E-2</v>
      </c>
      <c r="T49" s="50">
        <f t="shared" si="57"/>
        <v>1.5021810917068777E-2</v>
      </c>
      <c r="U49" s="44">
        <f t="shared" si="57"/>
        <v>1.501129440689216E-2</v>
      </c>
      <c r="V49" s="311">
        <f>V48/V4</f>
        <v>1.6816791566379028E-2</v>
      </c>
      <c r="W49" s="122">
        <f t="shared" ref="W49:Y49" si="58">W48/W4</f>
        <v>1.2804381887283509E-2</v>
      </c>
      <c r="X49" s="122">
        <f t="shared" si="58"/>
        <v>1.1621430850703229E-2</v>
      </c>
      <c r="Y49" s="122">
        <f t="shared" si="58"/>
        <v>1.3777814856457822E-2</v>
      </c>
      <c r="Z49" s="131">
        <f>Z48/Z4</f>
        <v>1.3464173031238875E-2</v>
      </c>
      <c r="AA49" s="131">
        <f ca="1">AA48/AA4</f>
        <v>1.2531038123029274E-2</v>
      </c>
      <c r="AB49" s="131">
        <f t="shared" ref="AB49:AC49" ca="1" si="59">AB48/AB4</f>
        <v>1.2800705632245831E-2</v>
      </c>
      <c r="AC49" s="131">
        <f t="shared" ca="1" si="59"/>
        <v>1.3042028633196527E-2</v>
      </c>
    </row>
    <row r="50" spans="1:29" s="35" customFormat="1" ht="15" customHeight="1">
      <c r="A50" s="16" t="s">
        <v>60</v>
      </c>
      <c r="B50" s="36"/>
      <c r="C50" s="36"/>
      <c r="D50" s="36">
        <v>3.6819999999999999</v>
      </c>
      <c r="E50" s="36">
        <v>120.517</v>
      </c>
      <c r="F50" s="36">
        <v>18.745999999999999</v>
      </c>
      <c r="G50" s="37">
        <v>1.96</v>
      </c>
      <c r="H50" s="37">
        <v>1.804</v>
      </c>
      <c r="I50" s="37">
        <v>1.46</v>
      </c>
      <c r="J50" s="37">
        <v>1.33</v>
      </c>
      <c r="K50" s="36">
        <v>6.5540000000000003</v>
      </c>
      <c r="L50" s="37">
        <v>1.2589999999999999</v>
      </c>
      <c r="M50" s="37">
        <v>1.101</v>
      </c>
      <c r="N50" s="37">
        <v>1.0620000000000001</v>
      </c>
      <c r="O50" s="37">
        <v>0.90400000000000003</v>
      </c>
      <c r="P50" s="36">
        <v>4.3259999999999996</v>
      </c>
      <c r="Q50" s="37">
        <v>2.9249999999999998</v>
      </c>
      <c r="R50" s="37">
        <v>0.78700000000000003</v>
      </c>
      <c r="S50" s="37">
        <v>0.47499999999999998</v>
      </c>
      <c r="T50" s="37">
        <v>8.9999999999999993E-3</v>
      </c>
      <c r="U50" s="36">
        <v>4.1970000000000001</v>
      </c>
      <c r="V50" s="316">
        <v>0.09</v>
      </c>
      <c r="W50" s="124">
        <v>1</v>
      </c>
      <c r="X50" s="124">
        <v>0.8</v>
      </c>
      <c r="Y50" s="124">
        <v>0.5</v>
      </c>
      <c r="Z50" s="132">
        <v>4.3</v>
      </c>
      <c r="AA50" s="132">
        <v>4.3</v>
      </c>
      <c r="AB50" s="132">
        <v>4.3</v>
      </c>
      <c r="AC50" s="132">
        <v>4.3</v>
      </c>
    </row>
    <row r="51" spans="1:29" s="35" customFormat="1" ht="15" customHeight="1">
      <c r="A51" s="16" t="s">
        <v>53</v>
      </c>
      <c r="B51" s="36"/>
      <c r="C51" s="36"/>
      <c r="D51" s="36">
        <f>4.11</f>
        <v>4.1100000000000003</v>
      </c>
      <c r="E51" s="36">
        <f>1.596-E20</f>
        <v>0.93100000000000005</v>
      </c>
      <c r="F51" s="36">
        <v>0</v>
      </c>
      <c r="G51" s="37">
        <v>0.497</v>
      </c>
      <c r="H51" s="37">
        <f>5.136-H20</f>
        <v>3.9279999999999999</v>
      </c>
      <c r="I51" s="37">
        <f>3.227-I20</f>
        <v>3.2269999999999999</v>
      </c>
      <c r="J51" s="37">
        <f>3.99-J20</f>
        <v>3.8250000000000002</v>
      </c>
      <c r="K51" s="36">
        <f>13.406-K20</f>
        <v>12.033000000000001</v>
      </c>
      <c r="L51" s="37">
        <v>2.9540000000000002</v>
      </c>
      <c r="M51" s="37">
        <v>1.581</v>
      </c>
      <c r="N51" s="37">
        <v>0</v>
      </c>
      <c r="O51" s="37">
        <v>2.355</v>
      </c>
      <c r="P51" s="36">
        <v>6.89</v>
      </c>
      <c r="Q51" s="37">
        <v>0.49199999999999999</v>
      </c>
      <c r="R51" s="37">
        <v>0.156</v>
      </c>
      <c r="S51" s="37">
        <v>0.36399999999999999</v>
      </c>
      <c r="T51" s="37">
        <f>0.272-T20</f>
        <v>3.0000000000000027E-3</v>
      </c>
      <c r="U51" s="36">
        <f>1.284-U20</f>
        <v>1.0150000000000001</v>
      </c>
      <c r="V51" s="317">
        <v>0.14899999999999999</v>
      </c>
      <c r="W51" s="111"/>
      <c r="X51" s="111"/>
      <c r="Y51" s="111"/>
      <c r="Z51" s="108"/>
      <c r="AA51" s="108"/>
      <c r="AB51" s="108"/>
      <c r="AC51" s="108"/>
    </row>
    <row r="52" spans="1:29" s="35" customFormat="1" ht="15" customHeight="1">
      <c r="A52" s="35" t="s">
        <v>55</v>
      </c>
      <c r="B52" s="36"/>
      <c r="C52" s="36"/>
      <c r="D52" s="36">
        <f>-6.845+16.56-D22</f>
        <v>4.452</v>
      </c>
      <c r="E52" s="36">
        <f>4.154-E21+0.594</f>
        <v>4.673</v>
      </c>
      <c r="F52" s="36">
        <f>5.192-F21</f>
        <v>5.12</v>
      </c>
      <c r="G52" s="37">
        <v>0.48499999999999999</v>
      </c>
      <c r="H52" s="37">
        <v>0.17699999999999999</v>
      </c>
      <c r="I52" s="37">
        <f>1.138-I21</f>
        <v>0.81399999999999983</v>
      </c>
      <c r="J52" s="37">
        <f>1.52-J21</f>
        <v>1.335</v>
      </c>
      <c r="K52" s="36">
        <f>2.764-K21</f>
        <v>2.2549999999999999</v>
      </c>
      <c r="L52" s="37">
        <f>0.214-L21</f>
        <v>0.214</v>
      </c>
      <c r="M52" s="37">
        <f>0.255-M21</f>
        <v>0.13900000000000001</v>
      </c>
      <c r="N52" s="37">
        <v>0.111</v>
      </c>
      <c r="O52" s="37">
        <f>0.263-O21</f>
        <v>0.24500000000000002</v>
      </c>
      <c r="P52" s="36">
        <f>0.843-P21</f>
        <v>0.70899999999999996</v>
      </c>
      <c r="Q52" s="37">
        <f>2.768-Q68</f>
        <v>0.36799999999999988</v>
      </c>
      <c r="R52" s="37">
        <v>0.66200000000000003</v>
      </c>
      <c r="S52" s="37">
        <v>5.5819999999999999</v>
      </c>
      <c r="T52" s="37">
        <v>2.0790000000000002</v>
      </c>
      <c r="U52" s="36">
        <f>11.091-U68</f>
        <v>8.6909999999999989</v>
      </c>
      <c r="V52" s="316">
        <v>0.52400000000000002</v>
      </c>
      <c r="W52" s="111"/>
      <c r="X52" s="111"/>
      <c r="Y52" s="111"/>
      <c r="Z52" s="108"/>
      <c r="AA52" s="108"/>
      <c r="AB52" s="108"/>
      <c r="AC52" s="108"/>
    </row>
    <row r="53" spans="1:29" s="35" customFormat="1" ht="15" customHeight="1">
      <c r="A53" s="35" t="s">
        <v>67</v>
      </c>
      <c r="B53" s="36"/>
      <c r="C53" s="36"/>
      <c r="D53" s="36">
        <v>32.725999999999999</v>
      </c>
      <c r="E53" s="36">
        <v>30.443999999999999</v>
      </c>
      <c r="F53" s="36">
        <v>27.902000000000001</v>
      </c>
      <c r="G53" s="37">
        <f>12.88-4.9</f>
        <v>7.98</v>
      </c>
      <c r="H53" s="37">
        <f>12.564-H19</f>
        <v>7.0640000000000001</v>
      </c>
      <c r="I53" s="37">
        <f>12.522-I19</f>
        <v>7.3220000000000001</v>
      </c>
      <c r="J53" s="37">
        <f>12.571-J19</f>
        <v>7.3709999999999996</v>
      </c>
      <c r="K53" s="36">
        <f>50.537-K19</f>
        <v>30.012</v>
      </c>
      <c r="L53" s="37">
        <f>11.837-L19</f>
        <v>7.2309999999999999</v>
      </c>
      <c r="M53" s="37">
        <f>11.62-M19</f>
        <v>7.0039999999999996</v>
      </c>
      <c r="N53" s="37">
        <f>11.578-N19</f>
        <v>7.0629999999999997</v>
      </c>
      <c r="O53" s="37">
        <f>11.03-O19</f>
        <v>6.6049999999999995</v>
      </c>
      <c r="P53" s="36">
        <f>46.338-P19</f>
        <v>28.176000000000002</v>
      </c>
      <c r="Q53" s="37">
        <f>10.164-Q19</f>
        <v>6.2949999999999999</v>
      </c>
      <c r="R53" s="37">
        <f>9.872-R19</f>
        <v>6.08</v>
      </c>
      <c r="S53" s="37">
        <f>9.84-S19</f>
        <v>6.0619999999999994</v>
      </c>
      <c r="T53" s="37">
        <f>9.554-T19</f>
        <v>5.8670000000000009</v>
      </c>
      <c r="U53" s="36">
        <f>39.43-U19</f>
        <v>24.304000000000002</v>
      </c>
      <c r="V53" s="318">
        <f>8.723-V19</f>
        <v>5.5910000000000011</v>
      </c>
      <c r="W53" s="111"/>
      <c r="X53" s="111"/>
      <c r="Y53" s="111"/>
      <c r="Z53" s="108"/>
      <c r="AA53" s="108"/>
      <c r="AB53" s="108"/>
      <c r="AC53" s="108"/>
    </row>
    <row r="54" spans="1:29" s="35" customFormat="1" ht="15" customHeight="1">
      <c r="B54" s="36"/>
      <c r="C54" s="36"/>
      <c r="D54" s="36"/>
      <c r="E54" s="36"/>
      <c r="F54" s="36"/>
      <c r="G54" s="37"/>
      <c r="H54" s="37"/>
      <c r="I54" s="37"/>
      <c r="J54" s="37"/>
      <c r="K54" s="36"/>
      <c r="L54" s="37"/>
      <c r="M54" s="37"/>
      <c r="N54" s="37"/>
      <c r="O54" s="37"/>
      <c r="P54" s="36"/>
      <c r="Q54" s="37"/>
      <c r="R54" s="37"/>
      <c r="S54" s="37"/>
      <c r="T54" s="37"/>
      <c r="U54" s="36"/>
      <c r="V54" s="317"/>
      <c r="W54" s="111"/>
      <c r="X54" s="111"/>
      <c r="Y54" s="111"/>
      <c r="Z54" s="108"/>
      <c r="AA54" s="108"/>
      <c r="AB54" s="108"/>
      <c r="AC54" s="108"/>
    </row>
    <row r="55" spans="1:29" s="35" customFormat="1" ht="15" customHeight="1">
      <c r="A55" s="43" t="s">
        <v>69</v>
      </c>
      <c r="B55" s="36"/>
      <c r="C55" s="36"/>
      <c r="D55" s="36">
        <f t="shared" ref="D55:V55" si="60">D45+D50+D51+D52+D53</f>
        <v>-138.60200599999999</v>
      </c>
      <c r="E55" s="36">
        <f t="shared" si="60"/>
        <v>-151.70999399999999</v>
      </c>
      <c r="F55" s="36">
        <f t="shared" si="60"/>
        <v>-192.43700200000001</v>
      </c>
      <c r="G55" s="37">
        <f t="shared" si="60"/>
        <v>-52.246999000000002</v>
      </c>
      <c r="H55" s="37">
        <f t="shared" si="60"/>
        <v>-57.848998999999999</v>
      </c>
      <c r="I55" s="37">
        <f t="shared" si="60"/>
        <v>-65.914000000000001</v>
      </c>
      <c r="J55" s="37">
        <f t="shared" si="60"/>
        <v>-53.616996999999998</v>
      </c>
      <c r="K55" s="36">
        <f t="shared" si="60"/>
        <v>-229.035008</v>
      </c>
      <c r="L55" s="37">
        <f t="shared" si="60"/>
        <v>-61.786000000000008</v>
      </c>
      <c r="M55" s="37">
        <f t="shared" si="60"/>
        <v>-64.385998999999998</v>
      </c>
      <c r="N55" s="37">
        <f t="shared" si="60"/>
        <v>-64.253997999999996</v>
      </c>
      <c r="O55" s="37">
        <f t="shared" si="60"/>
        <v>-74.841995999999995</v>
      </c>
      <c r="P55" s="36">
        <f t="shared" si="60"/>
        <v>-265.06098700000001</v>
      </c>
      <c r="Q55" s="37">
        <f t="shared" si="60"/>
        <v>-67.166002000000006</v>
      </c>
      <c r="R55" s="37">
        <f t="shared" si="60"/>
        <v>-75.512997999999982</v>
      </c>
      <c r="S55" s="37">
        <f t="shared" si="60"/>
        <v>-76.115000000000009</v>
      </c>
      <c r="T55" s="37">
        <f t="shared" si="60"/>
        <v>-70.769997000000004</v>
      </c>
      <c r="U55" s="36">
        <f t="shared" si="60"/>
        <v>-289.56298900000002</v>
      </c>
      <c r="V55" s="316">
        <f t="shared" si="60"/>
        <v>-68.532999999999987</v>
      </c>
      <c r="W55" s="124">
        <f>-W56*W4</f>
        <v>-80.832340211174525</v>
      </c>
      <c r="X55" s="124">
        <f t="shared" ref="X55:Y55" si="61">-X56*X4</f>
        <v>-73.132765968145193</v>
      </c>
      <c r="Y55" s="124">
        <f t="shared" si="61"/>
        <v>-81.505449836433769</v>
      </c>
      <c r="Z55" s="132">
        <f>SUM(V55:Y55)</f>
        <v>-304.00355601575347</v>
      </c>
      <c r="AA55" s="132">
        <f ca="1">AA56*-AA4</f>
        <v>-331.97962501565894</v>
      </c>
      <c r="AB55" s="132">
        <f t="shared" ref="AB55:AC55" ca="1" si="62">AB56*-AB4</f>
        <v>-366.81994458000395</v>
      </c>
      <c r="AC55" s="132">
        <f t="shared" ca="1" si="62"/>
        <v>-404.34454329492905</v>
      </c>
    </row>
    <row r="56" spans="1:29" s="35" customFormat="1" ht="15" customHeight="1">
      <c r="A56" s="16" t="s">
        <v>54</v>
      </c>
      <c r="B56" s="36"/>
      <c r="C56" s="36"/>
      <c r="D56" s="44">
        <f t="shared" ref="D56:U56" si="63">-D55/D4</f>
        <v>0.17451710139151916</v>
      </c>
      <c r="E56" s="44">
        <f t="shared" si="63"/>
        <v>0.16870556616475993</v>
      </c>
      <c r="F56" s="44">
        <f t="shared" si="63"/>
        <v>0.16322412721843241</v>
      </c>
      <c r="G56" s="50">
        <f t="shared" si="63"/>
        <v>0.20117592600379117</v>
      </c>
      <c r="H56" s="50">
        <f t="shared" si="63"/>
        <v>0.14598932069009452</v>
      </c>
      <c r="I56" s="50">
        <f t="shared" si="63"/>
        <v>0.16687468955146845</v>
      </c>
      <c r="J56" s="50">
        <f t="shared" si="63"/>
        <v>0.17600580023130796</v>
      </c>
      <c r="K56" s="44">
        <f t="shared" si="63"/>
        <v>0.16895645733207371</v>
      </c>
      <c r="L56" s="50">
        <f t="shared" si="63"/>
        <v>0.28570371241376713</v>
      </c>
      <c r="M56" s="50">
        <f t="shared" si="63"/>
        <v>0.17047224030853544</v>
      </c>
      <c r="N56" s="50">
        <f t="shared" si="63"/>
        <v>0.16579408882876201</v>
      </c>
      <c r="O56" s="50">
        <f t="shared" si="63"/>
        <v>0.19248889872260427</v>
      </c>
      <c r="P56" s="44">
        <f t="shared" si="63"/>
        <v>0.19343055548187021</v>
      </c>
      <c r="Q56" s="50">
        <f t="shared" si="63"/>
        <v>0.27934155978107172</v>
      </c>
      <c r="R56" s="50">
        <f t="shared" si="63"/>
        <v>0.18047695026091634</v>
      </c>
      <c r="S56" s="50">
        <f t="shared" si="63"/>
        <v>0.1752311974381229</v>
      </c>
      <c r="T56" s="50">
        <f t="shared" si="63"/>
        <v>0.20322949981562316</v>
      </c>
      <c r="U56" s="44">
        <f t="shared" si="63"/>
        <v>0.200883412386481</v>
      </c>
      <c r="V56" s="319">
        <f>-V55/V4</f>
        <v>0.2401052450872195</v>
      </c>
      <c r="W56" s="126">
        <f t="shared" ref="W56:Y56" si="64">R56+W57/10000</f>
        <v>0.17747695026091634</v>
      </c>
      <c r="X56" s="126">
        <f t="shared" si="64"/>
        <v>0.1717311974381229</v>
      </c>
      <c r="Y56" s="126">
        <f t="shared" si="64"/>
        <v>0.19922949981562316</v>
      </c>
      <c r="Z56" s="123">
        <f>-Z55/Z4</f>
        <v>0.192915125138302</v>
      </c>
      <c r="AA56" s="123">
        <f>Z56+AA57/10000</f>
        <v>0.19061512513830201</v>
      </c>
      <c r="AB56" s="123">
        <f t="shared" ref="AB56:AC56" si="65">AA56+AB57/10000</f>
        <v>0.187615125138302</v>
      </c>
      <c r="AC56" s="123">
        <f t="shared" si="65"/>
        <v>0.184115125138302</v>
      </c>
    </row>
    <row r="57" spans="1:29" s="35" customFormat="1" ht="15" customHeight="1">
      <c r="A57" s="16" t="s">
        <v>184</v>
      </c>
      <c r="B57" s="36"/>
      <c r="C57" s="36"/>
      <c r="D57" s="36"/>
      <c r="E57" s="36">
        <f>(E56-D56)*10000</f>
        <v>-58.115352267592293</v>
      </c>
      <c r="F57" s="36">
        <f>(F56-E56)*10000</f>
        <v>-54.814389463275212</v>
      </c>
      <c r="G57" s="37"/>
      <c r="H57" s="37"/>
      <c r="I57" s="37"/>
      <c r="J57" s="37"/>
      <c r="K57" s="118">
        <f>(K56-F56)*10000</f>
        <v>57.323301136412987</v>
      </c>
      <c r="L57" s="119">
        <f>(L56-G56)*10000</f>
        <v>845.27786409975965</v>
      </c>
      <c r="M57" s="119">
        <f t="shared" ref="M57" si="66">(M56-H56)*10000</f>
        <v>244.82919618440928</v>
      </c>
      <c r="N57" s="119">
        <f t="shared" ref="N57" si="67">(N56-I56)*10000</f>
        <v>-10.806007227064374</v>
      </c>
      <c r="O57" s="119">
        <f t="shared" ref="O57" si="68">(O56-J56)*10000</f>
        <v>164.83098491296312</v>
      </c>
      <c r="P57" s="118">
        <f>(P56-K56)*10000</f>
        <v>244.74098149796509</v>
      </c>
      <c r="Q57" s="119">
        <f>(Q56-L56)*10000</f>
        <v>-63.621526326954061</v>
      </c>
      <c r="R57" s="119">
        <f t="shared" ref="R57" si="69">(R56-M56)*10000</f>
        <v>100.04709952380897</v>
      </c>
      <c r="S57" s="119">
        <f t="shared" ref="S57" si="70">(S56-N56)*10000</f>
        <v>94.371086093608952</v>
      </c>
      <c r="T57" s="119">
        <f t="shared" ref="T57" si="71">(T56-O56)*10000</f>
        <v>107.40601093018887</v>
      </c>
      <c r="U57" s="118">
        <f>(U56-P56)*10000</f>
        <v>74.528569046107833</v>
      </c>
      <c r="V57" s="320">
        <f>(V56-Q56)*10000</f>
        <v>-392.36314693852222</v>
      </c>
      <c r="W57" s="111">
        <v>-30</v>
      </c>
      <c r="X57" s="111">
        <v>-35</v>
      </c>
      <c r="Y57" s="111">
        <v>-40</v>
      </c>
      <c r="Z57" s="132">
        <f>(Z56-U56)*10000</f>
        <v>-79.682872481789957</v>
      </c>
      <c r="AA57" s="108">
        <v>-23</v>
      </c>
      <c r="AB57" s="108">
        <v>-30</v>
      </c>
      <c r="AC57" s="108">
        <v>-35</v>
      </c>
    </row>
    <row r="58" spans="1:29" s="35" customFormat="1" ht="15" customHeight="1">
      <c r="A58" s="16"/>
      <c r="B58" s="36"/>
      <c r="C58" s="36"/>
      <c r="D58" s="36"/>
      <c r="E58" s="36"/>
      <c r="F58" s="36"/>
      <c r="G58" s="37"/>
      <c r="H58" s="37"/>
      <c r="I58" s="37"/>
      <c r="J58" s="37"/>
      <c r="K58" s="118"/>
      <c r="L58" s="119"/>
      <c r="M58" s="119"/>
      <c r="N58" s="119"/>
      <c r="O58" s="119"/>
      <c r="P58" s="118"/>
      <c r="Q58" s="119"/>
      <c r="R58" s="119"/>
      <c r="S58" s="119"/>
      <c r="T58" s="119"/>
      <c r="U58" s="118"/>
      <c r="V58" s="317"/>
      <c r="W58" s="111"/>
      <c r="X58" s="111"/>
      <c r="Y58" s="111"/>
      <c r="Z58" s="108"/>
      <c r="AA58" s="108"/>
      <c r="AB58" s="108"/>
      <c r="AC58" s="108"/>
    </row>
    <row r="59" spans="1:29" s="35" customFormat="1" ht="15" customHeight="1">
      <c r="A59" s="39" t="s">
        <v>68</v>
      </c>
      <c r="B59" s="36"/>
      <c r="C59" s="36"/>
      <c r="D59" s="36">
        <f t="shared" ref="D59:V59" si="72">D45+D46+D51+D52+D53</f>
        <v>-138.60200599999999</v>
      </c>
      <c r="E59" s="36">
        <f t="shared" si="72"/>
        <v>-151.70999399999999</v>
      </c>
      <c r="F59" s="36">
        <f t="shared" si="72"/>
        <v>-188.51300200000003</v>
      </c>
      <c r="G59" s="37">
        <f t="shared" si="72"/>
        <v>-50.190999000000005</v>
      </c>
      <c r="H59" s="37">
        <f t="shared" si="72"/>
        <v>-54.724999000000011</v>
      </c>
      <c r="I59" s="37">
        <f t="shared" si="72"/>
        <v>-62.470999999999989</v>
      </c>
      <c r="J59" s="37">
        <f t="shared" si="72"/>
        <v>-50.687996999999996</v>
      </c>
      <c r="K59" s="36">
        <f t="shared" si="72"/>
        <v>-217.48400799999996</v>
      </c>
      <c r="L59" s="37">
        <f t="shared" si="72"/>
        <v>-59.088000000000015</v>
      </c>
      <c r="M59" s="37">
        <f t="shared" si="72"/>
        <v>-59.860999</v>
      </c>
      <c r="N59" s="37">
        <f t="shared" si="72"/>
        <v>-61.151997999999992</v>
      </c>
      <c r="O59" s="37">
        <f t="shared" si="72"/>
        <v>-70.788995999999997</v>
      </c>
      <c r="P59" s="36">
        <f t="shared" si="72"/>
        <v>-250.68298700000003</v>
      </c>
      <c r="Q59" s="37">
        <f t="shared" si="72"/>
        <v>-61.623002</v>
      </c>
      <c r="R59" s="37">
        <f t="shared" si="72"/>
        <v>-70.000997999999981</v>
      </c>
      <c r="S59" s="37">
        <f t="shared" si="72"/>
        <v>-70.762</v>
      </c>
      <c r="T59" s="37">
        <f t="shared" si="72"/>
        <v>-65.538997000000009</v>
      </c>
      <c r="U59" s="36">
        <f t="shared" si="72"/>
        <v>-267.9249890000001</v>
      </c>
      <c r="V59" s="316">
        <f t="shared" si="72"/>
        <v>-63.732999999999997</v>
      </c>
      <c r="W59" s="124">
        <f t="shared" ref="W59:AC59" si="73">W55-W50+W46</f>
        <v>-75.000551061174519</v>
      </c>
      <c r="X59" s="124">
        <f t="shared" si="73"/>
        <v>-68.183709563145186</v>
      </c>
      <c r="Y59" s="124">
        <f t="shared" si="73"/>
        <v>-75.868900034933773</v>
      </c>
      <c r="Z59" s="132">
        <f t="shared" si="73"/>
        <v>-284.69616065925351</v>
      </c>
      <c r="AA59" s="132">
        <f t="shared" ca="1" si="73"/>
        <v>-310.15528482165894</v>
      </c>
      <c r="AB59" s="132">
        <f t="shared" ca="1" si="73"/>
        <v>-341.79235617451695</v>
      </c>
      <c r="AC59" s="132">
        <f t="shared" ca="1" si="73"/>
        <v>-375.70228423355127</v>
      </c>
    </row>
    <row r="60" spans="1:29" s="35" customFormat="1" ht="15" customHeight="1">
      <c r="A60" s="16" t="s">
        <v>54</v>
      </c>
      <c r="B60" s="36"/>
      <c r="C60" s="36"/>
      <c r="D60" s="44">
        <f t="shared" ref="D60:U60" si="74">-D59/D4</f>
        <v>0.17451710139151916</v>
      </c>
      <c r="E60" s="44">
        <f t="shared" si="74"/>
        <v>0.16870556616475993</v>
      </c>
      <c r="F60" s="44">
        <f t="shared" si="74"/>
        <v>0.15989580954278537</v>
      </c>
      <c r="G60" s="50">
        <f t="shared" si="74"/>
        <v>0.19325934300801384</v>
      </c>
      <c r="H60" s="50">
        <f t="shared" si="74"/>
        <v>0.13810550859792928</v>
      </c>
      <c r="I60" s="50">
        <f t="shared" si="74"/>
        <v>0.1581580351817487</v>
      </c>
      <c r="J60" s="50">
        <f t="shared" si="74"/>
        <v>0.16639092029169661</v>
      </c>
      <c r="K60" s="44">
        <f t="shared" si="74"/>
        <v>0.16043541919172624</v>
      </c>
      <c r="L60" s="50">
        <f t="shared" si="74"/>
        <v>0.27322793123206995</v>
      </c>
      <c r="M60" s="50">
        <f t="shared" si="74"/>
        <v>0.15849157837307143</v>
      </c>
      <c r="N60" s="50">
        <f t="shared" si="74"/>
        <v>0.15779002247406107</v>
      </c>
      <c r="O60" s="50">
        <f t="shared" si="74"/>
        <v>0.18206483805855259</v>
      </c>
      <c r="P60" s="44">
        <f t="shared" si="74"/>
        <v>0.18293808520853524</v>
      </c>
      <c r="Q60" s="50">
        <f t="shared" si="74"/>
        <v>0.25628837483987954</v>
      </c>
      <c r="R60" s="50">
        <f t="shared" si="74"/>
        <v>0.16730320565819018</v>
      </c>
      <c r="S60" s="50">
        <f t="shared" si="74"/>
        <v>0.16290757397512254</v>
      </c>
      <c r="T60" s="50">
        <f t="shared" si="74"/>
        <v>0.18820768889855438</v>
      </c>
      <c r="U60" s="44">
        <f t="shared" si="74"/>
        <v>0.18587211797958891</v>
      </c>
      <c r="V60" s="319">
        <f>-V59/V4</f>
        <v>0.22328845352084054</v>
      </c>
      <c r="W60" s="126">
        <f>-W59/W4</f>
        <v>0.16467256837363281</v>
      </c>
      <c r="X60" s="126">
        <f t="shared" ref="X60:Y60" si="75">-X59/X4</f>
        <v>0.16010976658741966</v>
      </c>
      <c r="Y60" s="126">
        <f t="shared" si="75"/>
        <v>0.18545168495916534</v>
      </c>
      <c r="Z60" s="123">
        <f>-Z59/Z4</f>
        <v>0.18066300335357902</v>
      </c>
      <c r="AA60" s="123">
        <f ca="1">-AA59/AA4</f>
        <v>0.17808408701527276</v>
      </c>
      <c r="AB60" s="123">
        <f t="shared" ref="AB60:AC60" ca="1" si="76">-AB59/AB4</f>
        <v>0.17481441950605617</v>
      </c>
      <c r="AC60" s="123">
        <f t="shared" ca="1" si="76"/>
        <v>0.17107309650510549</v>
      </c>
    </row>
    <row r="61" spans="1:29" s="35" customFormat="1" ht="15" customHeight="1">
      <c r="A61" s="16" t="s">
        <v>184</v>
      </c>
      <c r="B61" s="36"/>
      <c r="C61" s="36"/>
      <c r="D61" s="36"/>
      <c r="E61" s="36">
        <f>(E60-D60)*10000</f>
        <v>-58.115352267592293</v>
      </c>
      <c r="F61" s="36">
        <f>(F60-E60)*10000</f>
        <v>-88.097566219745573</v>
      </c>
      <c r="G61" s="37"/>
      <c r="H61" s="37"/>
      <c r="I61" s="37"/>
      <c r="J61" s="37"/>
      <c r="K61" s="116">
        <f>(K60-F60)*10000</f>
        <v>5.3960964894086967</v>
      </c>
      <c r="L61" s="117">
        <f>(L60-G60)*10000</f>
        <v>799.68588224056111</v>
      </c>
      <c r="M61" s="117">
        <f t="shared" ref="M61:O61" si="77">(M60-H60)*10000</f>
        <v>203.86069775142153</v>
      </c>
      <c r="N61" s="117">
        <f t="shared" si="77"/>
        <v>-3.6801270768763161</v>
      </c>
      <c r="O61" s="117">
        <f t="shared" si="77"/>
        <v>156.73917766855976</v>
      </c>
      <c r="P61" s="116">
        <f>(P60-K60)*10000</f>
        <v>225.02666016809002</v>
      </c>
      <c r="Q61" s="117">
        <f>(Q60-L60)*10000</f>
        <v>-169.39556392190414</v>
      </c>
      <c r="R61" s="117">
        <f t="shared" ref="R61" si="78">(R60-M60)*10000</f>
        <v>88.116272851187503</v>
      </c>
      <c r="S61" s="117">
        <f t="shared" ref="S61" si="79">(S60-N60)*10000</f>
        <v>51.175515010614681</v>
      </c>
      <c r="T61" s="117">
        <f t="shared" ref="T61" si="80">(T60-O60)*10000</f>
        <v>61.428508400017954</v>
      </c>
      <c r="U61" s="116">
        <f>(U60-P60)*10000</f>
        <v>29.340327710536684</v>
      </c>
      <c r="V61" s="316">
        <f>(V60-Q60)*10000</f>
        <v>-329.99921319039004</v>
      </c>
      <c r="W61" s="124">
        <f t="shared" ref="W61:Y61" si="81">(W60-R60)*10000</f>
        <v>-26.306372845573691</v>
      </c>
      <c r="X61" s="124">
        <f t="shared" si="81"/>
        <v>-27.97807387702883</v>
      </c>
      <c r="Y61" s="124">
        <f t="shared" si="81"/>
        <v>-27.560039393890456</v>
      </c>
      <c r="Z61" s="132">
        <f>(Z60-U60)*10000</f>
        <v>-52.091146260098974</v>
      </c>
      <c r="AA61" s="132">
        <f ca="1">(AA60-Z60)*10000</f>
        <v>-25.789163383062586</v>
      </c>
      <c r="AB61" s="132">
        <f t="shared" ref="AB61:AC61" ca="1" si="82">(AB60-AA60)*10000</f>
        <v>-32.696675092165897</v>
      </c>
      <c r="AC61" s="132">
        <f t="shared" ca="1" si="82"/>
        <v>-37.413230009506748</v>
      </c>
    </row>
    <row r="62" spans="1:29" s="35" customFormat="1" ht="15" customHeight="1">
      <c r="A62" s="16"/>
      <c r="B62" s="36"/>
      <c r="C62" s="36"/>
      <c r="D62" s="36"/>
      <c r="E62" s="36"/>
      <c r="F62" s="36"/>
      <c r="G62" s="37"/>
      <c r="H62" s="37"/>
      <c r="I62" s="37"/>
      <c r="J62" s="37"/>
      <c r="K62" s="118"/>
      <c r="L62" s="119"/>
      <c r="M62" s="119"/>
      <c r="N62" s="119"/>
      <c r="O62" s="119"/>
      <c r="P62" s="118"/>
      <c r="Q62" s="119"/>
      <c r="R62" s="119"/>
      <c r="S62" s="119"/>
      <c r="T62" s="119"/>
      <c r="U62" s="118"/>
      <c r="V62" s="317"/>
      <c r="W62" s="111"/>
      <c r="X62" s="111"/>
      <c r="Y62" s="111"/>
      <c r="Z62" s="108"/>
      <c r="AA62" s="108"/>
      <c r="AB62" s="108"/>
      <c r="AC62" s="108"/>
    </row>
    <row r="63" spans="1:29" ht="15" customHeight="1">
      <c r="A63" s="3"/>
      <c r="B63" s="14"/>
      <c r="C63" s="14"/>
      <c r="D63" s="14"/>
      <c r="E63" s="14"/>
      <c r="F63" s="14"/>
      <c r="G63" s="21"/>
      <c r="H63" s="21"/>
      <c r="I63" s="21"/>
      <c r="J63" s="21"/>
      <c r="K63" s="14"/>
      <c r="L63" s="21"/>
      <c r="M63" s="21"/>
      <c r="N63" s="21"/>
      <c r="O63" s="21"/>
      <c r="P63" s="14"/>
      <c r="Q63" s="21"/>
      <c r="R63" s="21"/>
      <c r="S63" s="21"/>
      <c r="T63" s="21"/>
      <c r="U63" s="14"/>
    </row>
    <row r="64" spans="1:29" ht="15" customHeight="1">
      <c r="A64" s="3" t="s">
        <v>25</v>
      </c>
      <c r="B64" s="14">
        <v>-32.200001</v>
      </c>
      <c r="C64" s="15">
        <v>0</v>
      </c>
      <c r="D64" s="15">
        <v>0</v>
      </c>
      <c r="E64" s="15">
        <v>0</v>
      </c>
      <c r="F64" s="15">
        <v>0</v>
      </c>
      <c r="G64" s="22">
        <v>0</v>
      </c>
      <c r="H64" s="22">
        <v>0</v>
      </c>
      <c r="I64" s="22">
        <v>0</v>
      </c>
      <c r="J64" s="22">
        <v>0</v>
      </c>
      <c r="K64" s="15">
        <v>0</v>
      </c>
      <c r="L64" s="22">
        <v>0</v>
      </c>
      <c r="M64" s="22">
        <v>0</v>
      </c>
      <c r="N64" s="22">
        <v>0</v>
      </c>
      <c r="O64" s="22">
        <v>0</v>
      </c>
      <c r="P64" s="15">
        <v>0</v>
      </c>
      <c r="Q64" s="22">
        <v>0</v>
      </c>
      <c r="R64" s="22">
        <v>0</v>
      </c>
      <c r="S64" s="22">
        <v>0</v>
      </c>
      <c r="T64" s="22">
        <v>0</v>
      </c>
      <c r="U64" s="15">
        <v>0</v>
      </c>
    </row>
    <row r="65" spans="1:29" ht="15" customHeight="1">
      <c r="A65" s="3" t="s">
        <v>26</v>
      </c>
      <c r="B65" s="14">
        <v>-11.38</v>
      </c>
      <c r="C65" s="15">
        <v>0</v>
      </c>
      <c r="D65" s="15">
        <v>0</v>
      </c>
      <c r="E65" s="15">
        <v>0</v>
      </c>
      <c r="F65" s="15">
        <v>0</v>
      </c>
      <c r="G65" s="22">
        <v>0</v>
      </c>
      <c r="H65" s="22">
        <v>0</v>
      </c>
      <c r="I65" s="22">
        <v>0</v>
      </c>
      <c r="J65" s="22">
        <v>0</v>
      </c>
      <c r="K65" s="15">
        <v>0</v>
      </c>
      <c r="L65" s="22">
        <v>0</v>
      </c>
      <c r="M65" s="22">
        <v>0</v>
      </c>
      <c r="N65" s="22">
        <v>0</v>
      </c>
      <c r="O65" s="22">
        <v>0</v>
      </c>
      <c r="P65" s="15">
        <v>0</v>
      </c>
      <c r="Q65" s="22">
        <v>0</v>
      </c>
      <c r="R65" s="22">
        <v>0</v>
      </c>
      <c r="S65" s="22">
        <v>0</v>
      </c>
      <c r="T65" s="22">
        <v>0</v>
      </c>
      <c r="U65" s="15">
        <v>0</v>
      </c>
    </row>
    <row r="66" spans="1:29" ht="15" customHeight="1">
      <c r="A66" s="3" t="s">
        <v>27</v>
      </c>
      <c r="B66" s="14">
        <v>0</v>
      </c>
      <c r="C66" s="14">
        <v>-4.1820000000000004</v>
      </c>
      <c r="D66" s="14">
        <v>-9.0760000000000005</v>
      </c>
      <c r="E66" s="14">
        <v>-8.6159999999999997</v>
      </c>
      <c r="F66" s="14">
        <v>-2.5920000000000001</v>
      </c>
      <c r="G66" s="21">
        <v>0</v>
      </c>
      <c r="H66" s="21">
        <v>0</v>
      </c>
      <c r="I66" s="21">
        <v>0</v>
      </c>
      <c r="J66" s="21">
        <v>0</v>
      </c>
      <c r="K66" s="14">
        <v>0</v>
      </c>
      <c r="L66" s="21">
        <v>0</v>
      </c>
      <c r="M66" s="21">
        <v>0</v>
      </c>
      <c r="N66" s="21">
        <v>-1.0649999999999999</v>
      </c>
      <c r="O66" s="21">
        <v>0</v>
      </c>
      <c r="P66" s="14">
        <v>-1.0649999999999999</v>
      </c>
      <c r="Q66" s="21">
        <v>0</v>
      </c>
      <c r="R66" s="21">
        <v>0</v>
      </c>
      <c r="S66" s="21">
        <v>0</v>
      </c>
      <c r="T66" s="21">
        <v>0</v>
      </c>
      <c r="U66" s="14">
        <v>0</v>
      </c>
    </row>
    <row r="67" spans="1:29" ht="15" customHeight="1">
      <c r="A67" s="3" t="s">
        <v>28</v>
      </c>
      <c r="B67" s="14">
        <v>-4.2880000000000003</v>
      </c>
      <c r="C67" s="14">
        <v>-0.79100000000000004</v>
      </c>
      <c r="D67" s="14">
        <v>-1.4950000000000001</v>
      </c>
      <c r="E67" s="14">
        <v>-0.90400000000000003</v>
      </c>
      <c r="F67" s="14">
        <v>-1.0249999999999999</v>
      </c>
      <c r="G67" s="21">
        <v>0</v>
      </c>
      <c r="H67" s="21">
        <v>0</v>
      </c>
      <c r="I67" s="21">
        <v>0</v>
      </c>
      <c r="J67" s="21">
        <v>-0.17899999999999999</v>
      </c>
      <c r="K67" s="14">
        <v>-0.496</v>
      </c>
      <c r="L67" s="21">
        <v>0</v>
      </c>
      <c r="M67" s="21">
        <v>-0.249</v>
      </c>
      <c r="N67" s="21">
        <v>-9.5000000000000001E-2</v>
      </c>
      <c r="O67" s="21">
        <v>2.9000000000000001E-2</v>
      </c>
      <c r="P67" s="14">
        <v>-0.249</v>
      </c>
      <c r="Q67" s="21">
        <v>-2.1850000000000001</v>
      </c>
      <c r="R67" s="21">
        <v>8.6999999999999994E-2</v>
      </c>
      <c r="S67" s="21">
        <v>4.9000000000000002E-2</v>
      </c>
      <c r="T67" s="21">
        <v>0.115</v>
      </c>
      <c r="U67" s="14">
        <v>-1.9339999999999999</v>
      </c>
      <c r="V67" s="63">
        <v>-1.4139999999999999</v>
      </c>
    </row>
    <row r="68" spans="1:29" s="35" customFormat="1" ht="15" customHeight="1">
      <c r="A68" s="34" t="s">
        <v>58</v>
      </c>
      <c r="B68" s="36"/>
      <c r="C68" s="36"/>
      <c r="D68" s="36">
        <v>0</v>
      </c>
      <c r="E68" s="36">
        <v>0</v>
      </c>
      <c r="F68" s="36">
        <v>0</v>
      </c>
      <c r="G68" s="37">
        <v>0</v>
      </c>
      <c r="H68" s="37">
        <v>0</v>
      </c>
      <c r="I68" s="37">
        <v>0</v>
      </c>
      <c r="J68" s="37">
        <v>0</v>
      </c>
      <c r="K68" s="36">
        <v>0</v>
      </c>
      <c r="L68" s="37">
        <v>0</v>
      </c>
      <c r="M68" s="37">
        <v>0</v>
      </c>
      <c r="N68" s="37">
        <v>0</v>
      </c>
      <c r="O68" s="37">
        <v>0</v>
      </c>
      <c r="P68" s="36">
        <v>0</v>
      </c>
      <c r="Q68" s="37">
        <v>2.4</v>
      </c>
      <c r="R68" s="37">
        <v>0</v>
      </c>
      <c r="S68" s="37">
        <v>0</v>
      </c>
      <c r="T68" s="37">
        <v>0</v>
      </c>
      <c r="U68" s="36">
        <v>2.4</v>
      </c>
      <c r="V68" s="317"/>
      <c r="W68" s="111"/>
      <c r="X68" s="111"/>
      <c r="Y68" s="111"/>
      <c r="Z68" s="108"/>
      <c r="AA68" s="108"/>
      <c r="AB68" s="108"/>
      <c r="AC68" s="108"/>
    </row>
    <row r="69" spans="1:29" ht="15" customHeight="1">
      <c r="A69" s="3" t="s">
        <v>70</v>
      </c>
      <c r="B69" s="14"/>
      <c r="C69" s="14"/>
      <c r="D69" s="14">
        <f>D67</f>
        <v>-1.4950000000000001</v>
      </c>
      <c r="E69" s="14">
        <f t="shared" ref="E69:F69" si="83">E67</f>
        <v>-0.90400000000000003</v>
      </c>
      <c r="F69" s="14">
        <f t="shared" si="83"/>
        <v>-1.0249999999999999</v>
      </c>
      <c r="G69" s="21">
        <v>0</v>
      </c>
      <c r="H69" s="21">
        <v>0</v>
      </c>
      <c r="I69" s="21">
        <v>0</v>
      </c>
      <c r="J69" s="21">
        <f>J67</f>
        <v>-0.17899999999999999</v>
      </c>
      <c r="K69" s="14">
        <f>K67</f>
        <v>-0.496</v>
      </c>
      <c r="L69" s="21">
        <v>0</v>
      </c>
      <c r="M69" s="21">
        <f>M67</f>
        <v>-0.249</v>
      </c>
      <c r="N69" s="21">
        <f t="shared" ref="N69:O69" si="84">N67</f>
        <v>-9.5000000000000001E-2</v>
      </c>
      <c r="O69" s="21">
        <f t="shared" si="84"/>
        <v>2.9000000000000001E-2</v>
      </c>
      <c r="P69" s="14">
        <f>P67</f>
        <v>-0.249</v>
      </c>
      <c r="Q69" s="21">
        <f>Q67+Q68</f>
        <v>0.21499999999999986</v>
      </c>
      <c r="R69" s="21">
        <v>8.6999999999999994E-2</v>
      </c>
      <c r="S69" s="21">
        <v>4.9000000000000002E-2</v>
      </c>
      <c r="T69" s="21">
        <v>0.115</v>
      </c>
      <c r="U69" s="36">
        <f>U68+U67</f>
        <v>0.46599999999999997</v>
      </c>
      <c r="V69" s="63">
        <f>V67</f>
        <v>-1.4139999999999999</v>
      </c>
      <c r="W69" s="114">
        <v>0</v>
      </c>
      <c r="X69" s="114">
        <v>0</v>
      </c>
      <c r="Y69" s="114">
        <v>0</v>
      </c>
      <c r="Z69" s="104">
        <v>0</v>
      </c>
      <c r="AA69" s="104">
        <v>0</v>
      </c>
      <c r="AB69" s="104">
        <v>0</v>
      </c>
      <c r="AC69" s="104">
        <v>0</v>
      </c>
    </row>
    <row r="70" spans="1:29" ht="15" customHeight="1">
      <c r="A70" s="34"/>
      <c r="B70" s="14"/>
      <c r="C70" s="14"/>
      <c r="D70" s="14"/>
      <c r="E70" s="14"/>
      <c r="F70" s="14"/>
      <c r="G70" s="21"/>
      <c r="H70" s="21"/>
      <c r="I70" s="21"/>
      <c r="J70" s="21"/>
      <c r="K70" s="14"/>
      <c r="L70" s="21"/>
      <c r="M70" s="21"/>
      <c r="N70" s="21"/>
      <c r="O70" s="21"/>
      <c r="P70" s="14"/>
      <c r="Q70" s="21"/>
      <c r="R70" s="21"/>
      <c r="S70" s="21"/>
      <c r="T70" s="21"/>
      <c r="U70" s="14"/>
    </row>
    <row r="71" spans="1:29" ht="15" customHeight="1" thickBot="1">
      <c r="A71" s="4" t="s">
        <v>10</v>
      </c>
      <c r="B71" s="14">
        <v>-25.882999000000002</v>
      </c>
      <c r="C71" s="14">
        <v>52.375</v>
      </c>
      <c r="D71" s="14">
        <v>59.054001</v>
      </c>
      <c r="E71" s="14">
        <v>-21.745000999999998</v>
      </c>
      <c r="F71" s="14">
        <v>142.128998</v>
      </c>
      <c r="G71" s="37">
        <v>25.440000999999999</v>
      </c>
      <c r="H71" s="37">
        <v>51.637999999999998</v>
      </c>
      <c r="I71" s="37">
        <v>47.650002000000001</v>
      </c>
      <c r="J71" s="37">
        <v>4.2069999999999999</v>
      </c>
      <c r="K71" s="14">
        <v>118.279999</v>
      </c>
      <c r="L71" s="21">
        <v>-25.864999999999998</v>
      </c>
      <c r="M71" s="21">
        <v>36.414000999999999</v>
      </c>
      <c r="N71" s="21">
        <v>58.264000000000003</v>
      </c>
      <c r="O71" s="21">
        <v>60.370998</v>
      </c>
      <c r="P71" s="14">
        <v>123.792</v>
      </c>
      <c r="Q71" s="21">
        <v>12.002000000000001</v>
      </c>
      <c r="R71" s="21">
        <v>73.961997999999994</v>
      </c>
      <c r="S71" s="21">
        <v>75.775002000000001</v>
      </c>
      <c r="T71" s="21">
        <v>51.132998999999998</v>
      </c>
      <c r="U71" s="14">
        <v>212.08900499999999</v>
      </c>
      <c r="V71" s="24">
        <v>27.25</v>
      </c>
    </row>
    <row r="72" spans="1:29" s="12" customFormat="1" ht="15" customHeight="1" thickBot="1">
      <c r="A72" s="7" t="s">
        <v>56</v>
      </c>
      <c r="B72" s="26"/>
      <c r="C72" s="26"/>
      <c r="D72" s="26">
        <f>D4+D35+D59+D69</f>
        <v>174.76101599999996</v>
      </c>
      <c r="E72" s="26">
        <f>E4+E35+E59+E69</f>
        <v>206.45199399999996</v>
      </c>
      <c r="F72" s="26">
        <f>F4+F35+F59+F69</f>
        <v>268.38798700000007</v>
      </c>
      <c r="G72" s="27">
        <v>58.520010000000006</v>
      </c>
      <c r="H72" s="27">
        <v>90.92099300000001</v>
      </c>
      <c r="I72" s="27">
        <f>I4+I35+I59+I69</f>
        <v>85.08299300000003</v>
      </c>
      <c r="J72" s="27">
        <v>65.075986999999969</v>
      </c>
      <c r="K72" s="26">
        <f t="shared" ref="K72:V72" si="85">K4+K35+K59+K69</f>
        <v>290.38499099999996</v>
      </c>
      <c r="L72" s="27">
        <f t="shared" si="85"/>
        <v>15.100010000000005</v>
      </c>
      <c r="M72" s="27">
        <f t="shared" si="85"/>
        <v>76.311994000000027</v>
      </c>
      <c r="N72" s="27">
        <f t="shared" si="85"/>
        <v>96.667002999999994</v>
      </c>
      <c r="O72" s="27">
        <f t="shared" si="85"/>
        <v>101.95101899999997</v>
      </c>
      <c r="P72" s="26">
        <f t="shared" si="85"/>
        <v>283.83802300000002</v>
      </c>
      <c r="Q72" s="27">
        <f t="shared" si="85"/>
        <v>55.666995999999997</v>
      </c>
      <c r="R72" s="27">
        <f t="shared" si="85"/>
        <v>113.283001</v>
      </c>
      <c r="S72" s="27">
        <f t="shared" si="85"/>
        <v>119.41998700000005</v>
      </c>
      <c r="T72" s="27">
        <f t="shared" si="85"/>
        <v>91.753989999999988</v>
      </c>
      <c r="U72" s="26">
        <f t="shared" si="85"/>
        <v>379.3409909999998</v>
      </c>
      <c r="V72" s="314">
        <f t="shared" si="85"/>
        <v>65.868000000000038</v>
      </c>
      <c r="W72" s="125">
        <f t="shared" ref="W72:Y72" si="86">W4+W35+W59</f>
        <v>123.33504768732308</v>
      </c>
      <c r="X72" s="125">
        <f t="shared" si="86"/>
        <v>123.02680870226044</v>
      </c>
      <c r="Y72" s="125">
        <f t="shared" si="86"/>
        <v>111.88934385499059</v>
      </c>
      <c r="Z72" s="142">
        <f>Z4+Z35+Z59+Z69</f>
        <v>423.62320024457409</v>
      </c>
      <c r="AA72" s="142">
        <f t="shared" ref="AA72:AC72" ca="1" si="87">AA4+AA35+AA59+AA69</f>
        <v>488.87037857184328</v>
      </c>
      <c r="AB72" s="142">
        <f t="shared" ca="1" si="87"/>
        <v>567.91483490188693</v>
      </c>
      <c r="AC72" s="142">
        <f t="shared" ca="1" si="87"/>
        <v>654.47309822507066</v>
      </c>
    </row>
    <row r="73" spans="1:29" ht="15" customHeight="1">
      <c r="A73" s="4" t="s">
        <v>57</v>
      </c>
      <c r="B73" s="14"/>
      <c r="C73" s="14"/>
      <c r="D73" s="14"/>
      <c r="E73" s="13">
        <f>E72/E4</f>
        <v>0.22958013256274742</v>
      </c>
      <c r="F73" s="13">
        <f>F72/F4</f>
        <v>0.22764538253400451</v>
      </c>
      <c r="G73" s="21"/>
      <c r="H73" s="21"/>
      <c r="I73" s="21"/>
      <c r="J73" s="21"/>
      <c r="K73" s="13">
        <f t="shared" ref="K73:Y73" si="88">K72/K4</f>
        <v>0.21421362511431485</v>
      </c>
      <c r="L73" s="20">
        <f t="shared" si="88"/>
        <v>6.9823728910837546E-2</v>
      </c>
      <c r="M73" s="20">
        <f t="shared" si="88"/>
        <v>0.20204822137793527</v>
      </c>
      <c r="N73" s="20">
        <f t="shared" si="88"/>
        <v>0.24942911228951392</v>
      </c>
      <c r="O73" s="20">
        <f t="shared" si="88"/>
        <v>0.26221159803056698</v>
      </c>
      <c r="P73" s="13">
        <f t="shared" si="88"/>
        <v>0.20713326045136116</v>
      </c>
      <c r="Q73" s="20">
        <f t="shared" si="88"/>
        <v>0.23151750927450881</v>
      </c>
      <c r="R73" s="20">
        <f t="shared" si="88"/>
        <v>0.27074770010964655</v>
      </c>
      <c r="S73" s="20">
        <f t="shared" si="88"/>
        <v>0.27492750863896837</v>
      </c>
      <c r="T73" s="20">
        <f t="shared" si="88"/>
        <v>0.26348902478811304</v>
      </c>
      <c r="U73" s="13">
        <f t="shared" si="88"/>
        <v>0.26316661874957142</v>
      </c>
      <c r="V73" s="79">
        <f t="shared" si="88"/>
        <v>0.23076842226963634</v>
      </c>
      <c r="W73" s="101">
        <f t="shared" si="88"/>
        <v>0.27079666463503871</v>
      </c>
      <c r="X73" s="101">
        <f t="shared" si="88"/>
        <v>0.28889295920562735</v>
      </c>
      <c r="Y73" s="101">
        <f t="shared" si="88"/>
        <v>0.2734989875605035</v>
      </c>
      <c r="Z73" s="106">
        <f>Z72/Z4</f>
        <v>0.26882357482172042</v>
      </c>
      <c r="AA73" s="106">
        <f t="shared" ref="AA73:AC73" ca="1" si="89">AA72/AA4</f>
        <v>0.28069821569165743</v>
      </c>
      <c r="AB73" s="106">
        <f t="shared" ca="1" si="89"/>
        <v>0.29046788320087391</v>
      </c>
      <c r="AC73" s="106">
        <f t="shared" ca="1" si="89"/>
        <v>0.29800920620182458</v>
      </c>
    </row>
    <row r="74" spans="1:29" ht="15" customHeight="1">
      <c r="A74" s="4"/>
      <c r="B74" s="14"/>
      <c r="C74" s="14"/>
      <c r="D74" s="14"/>
      <c r="E74" s="14"/>
      <c r="F74" s="14"/>
      <c r="G74" s="21"/>
      <c r="H74" s="21"/>
      <c r="I74" s="21"/>
      <c r="J74" s="21"/>
      <c r="K74" s="14"/>
      <c r="L74" s="21"/>
      <c r="M74" s="21"/>
      <c r="N74" s="21"/>
      <c r="O74" s="21"/>
      <c r="P74" s="14"/>
      <c r="Q74" s="21"/>
      <c r="R74" s="21"/>
      <c r="S74" s="21"/>
      <c r="T74" s="21"/>
      <c r="U74" s="14"/>
      <c r="V74" s="77"/>
    </row>
    <row r="75" spans="1:29" ht="15" customHeight="1">
      <c r="A75" s="3" t="s">
        <v>11</v>
      </c>
      <c r="B75" s="14">
        <v>-61.576999999999998</v>
      </c>
      <c r="C75" s="14">
        <v>-68.741996999999998</v>
      </c>
      <c r="D75" s="14">
        <v>-83.205001999999993</v>
      </c>
      <c r="E75" s="14">
        <v>-108.76599899999999</v>
      </c>
      <c r="F75" s="14">
        <v>-20.311001000000001</v>
      </c>
      <c r="G75" s="21">
        <v>-4.1479999999999997</v>
      </c>
      <c r="H75" s="21">
        <v>-4.01</v>
      </c>
      <c r="I75" s="21">
        <v>-10.618</v>
      </c>
      <c r="J75" s="21">
        <v>-6.18</v>
      </c>
      <c r="K75" s="14">
        <v>-24.955998999999998</v>
      </c>
      <c r="L75" s="21">
        <v>-9.2989999999999995</v>
      </c>
      <c r="M75" s="21">
        <v>-10.773999999999999</v>
      </c>
      <c r="N75" s="21">
        <v>-10.407999999999999</v>
      </c>
      <c r="O75" s="21">
        <v>-8.8119999999999994</v>
      </c>
      <c r="P75" s="14">
        <v>-39.292999000000002</v>
      </c>
      <c r="Q75" s="21">
        <v>30.605</v>
      </c>
      <c r="R75" s="21">
        <v>-8.8949999999999996</v>
      </c>
      <c r="S75" s="21">
        <v>-7.7729999999999997</v>
      </c>
      <c r="T75" s="21">
        <v>-16.502001</v>
      </c>
      <c r="U75" s="14">
        <v>-2.5649999999999999</v>
      </c>
    </row>
    <row r="76" spans="1:29" ht="15" customHeight="1" outlineLevel="1">
      <c r="A76" s="3" t="s">
        <v>29</v>
      </c>
      <c r="B76" s="14">
        <v>-61.576999999999998</v>
      </c>
      <c r="C76" s="14">
        <v>-68.741996999999998</v>
      </c>
      <c r="D76" s="14">
        <v>-83.205001999999993</v>
      </c>
      <c r="E76" s="14">
        <v>-71.179001</v>
      </c>
      <c r="F76" s="14">
        <v>-20.311001000000001</v>
      </c>
      <c r="G76" s="21">
        <v>-4.1479999999999997</v>
      </c>
      <c r="H76" s="21">
        <v>-4.01</v>
      </c>
      <c r="I76" s="21">
        <v>-10.618</v>
      </c>
      <c r="J76" s="21">
        <v>-6.18</v>
      </c>
      <c r="K76" s="14">
        <v>-24.955998999999998</v>
      </c>
      <c r="L76" s="21">
        <v>-9.2989999999999995</v>
      </c>
      <c r="M76" s="21">
        <v>-10.773999999999999</v>
      </c>
      <c r="N76" s="21">
        <v>-10.407999999999999</v>
      </c>
      <c r="O76" s="21">
        <v>-8.8119999999999994</v>
      </c>
      <c r="P76" s="14">
        <v>-39.292999000000002</v>
      </c>
      <c r="Q76" s="21">
        <v>-7.91</v>
      </c>
      <c r="R76" s="21">
        <v>-8.68</v>
      </c>
      <c r="S76" s="21">
        <v>-7.8630000000000004</v>
      </c>
      <c r="T76" s="21">
        <v>-15.8</v>
      </c>
      <c r="U76" s="14">
        <v>-40.252997999999998</v>
      </c>
      <c r="V76" s="63">
        <v>-7.6630000000000003</v>
      </c>
    </row>
    <row r="77" spans="1:29" s="35" customFormat="1" ht="15" customHeight="1" outlineLevel="1">
      <c r="A77" s="34" t="s">
        <v>61</v>
      </c>
      <c r="B77" s="36"/>
      <c r="C77" s="36"/>
      <c r="D77" s="36">
        <v>0</v>
      </c>
      <c r="E77" s="36">
        <v>0</v>
      </c>
      <c r="F77" s="36">
        <v>0</v>
      </c>
      <c r="G77" s="37">
        <v>0</v>
      </c>
      <c r="H77" s="37">
        <v>0</v>
      </c>
      <c r="I77" s="37">
        <v>5.1120000000000001</v>
      </c>
      <c r="J77" s="37">
        <v>0</v>
      </c>
      <c r="K77" s="36">
        <v>5.1120000000000001</v>
      </c>
      <c r="L77" s="37">
        <v>0</v>
      </c>
      <c r="M77" s="37">
        <v>0</v>
      </c>
      <c r="N77" s="37">
        <v>0</v>
      </c>
      <c r="O77" s="37">
        <v>0</v>
      </c>
      <c r="P77" s="36">
        <v>0</v>
      </c>
      <c r="Q77" s="37">
        <v>0</v>
      </c>
      <c r="R77" s="37">
        <v>0</v>
      </c>
      <c r="S77" s="37">
        <v>0</v>
      </c>
      <c r="T77" s="37">
        <v>5.4939999999999998</v>
      </c>
      <c r="U77" s="36">
        <v>5.4939999999999998</v>
      </c>
      <c r="V77" s="316">
        <v>0</v>
      </c>
      <c r="W77" s="111"/>
      <c r="X77" s="111"/>
      <c r="Y77" s="111"/>
      <c r="Z77" s="108"/>
      <c r="AA77" s="108"/>
      <c r="AB77" s="108"/>
      <c r="AC77" s="108"/>
    </row>
    <row r="78" spans="1:29" ht="15" customHeight="1" outlineLevel="1">
      <c r="A78" s="34" t="s">
        <v>65</v>
      </c>
      <c r="B78" s="14"/>
      <c r="C78" s="14"/>
      <c r="D78" s="14">
        <f>D76</f>
        <v>-83.205001999999993</v>
      </c>
      <c r="E78" s="14">
        <f>E76</f>
        <v>-71.179001</v>
      </c>
      <c r="F78" s="14">
        <f>F76</f>
        <v>-20.311001000000001</v>
      </c>
      <c r="G78" s="21">
        <f>G76</f>
        <v>-4.1479999999999997</v>
      </c>
      <c r="H78" s="21">
        <f t="shared" ref="H78:J78" si="90">H76</f>
        <v>-4.01</v>
      </c>
      <c r="I78" s="21">
        <f>I76+I77</f>
        <v>-5.5060000000000002</v>
      </c>
      <c r="J78" s="21">
        <f t="shared" si="90"/>
        <v>-6.18</v>
      </c>
      <c r="K78" s="14">
        <f>K76+K77</f>
        <v>-19.843998999999997</v>
      </c>
      <c r="L78" s="21">
        <f t="shared" ref="L78:O78" si="91">L76+L77</f>
        <v>-9.2989999999999995</v>
      </c>
      <c r="M78" s="21">
        <f t="shared" si="91"/>
        <v>-10.773999999999999</v>
      </c>
      <c r="N78" s="21">
        <f t="shared" si="91"/>
        <v>-10.407999999999999</v>
      </c>
      <c r="O78" s="21">
        <f t="shared" si="91"/>
        <v>-8.8119999999999994</v>
      </c>
      <c r="P78" s="14">
        <f>P76+P77</f>
        <v>-39.292999000000002</v>
      </c>
      <c r="Q78" s="21">
        <f>Q76+Q77</f>
        <v>-7.91</v>
      </c>
      <c r="R78" s="21">
        <f>R76+R77</f>
        <v>-8.68</v>
      </c>
      <c r="S78" s="21">
        <f t="shared" ref="S78:T78" si="92">S76+S77</f>
        <v>-7.8630000000000004</v>
      </c>
      <c r="T78" s="21">
        <f t="shared" si="92"/>
        <v>-10.306000000000001</v>
      </c>
      <c r="U78" s="14">
        <f>U76+U77</f>
        <v>-34.758997999999998</v>
      </c>
      <c r="V78" s="63">
        <f>V76</f>
        <v>-7.6630000000000003</v>
      </c>
      <c r="W78" s="114">
        <v>-7.5</v>
      </c>
      <c r="X78" s="114">
        <v>-6.5</v>
      </c>
      <c r="Y78" s="114">
        <v>-7.5</v>
      </c>
      <c r="Z78" s="104">
        <f>SUM(V78:Y78)</f>
        <v>-29.163</v>
      </c>
      <c r="AA78" s="103">
        <f>440*-0.06+1.5</f>
        <v>-24.9</v>
      </c>
      <c r="AB78" s="103">
        <f>440*-0.0575+1.5</f>
        <v>-23.8</v>
      </c>
      <c r="AC78" s="103">
        <f>440*-0.055+1.5</f>
        <v>-22.7</v>
      </c>
    </row>
    <row r="79" spans="1:29" ht="15" customHeight="1" outlineLevel="1">
      <c r="A79" s="34" t="s">
        <v>20</v>
      </c>
      <c r="B79" s="14"/>
      <c r="C79" s="14"/>
      <c r="D79" s="14"/>
      <c r="E79" s="13">
        <f>E78/D78-1</f>
        <v>-0.14453459180254569</v>
      </c>
      <c r="F79" s="13">
        <f>F78/E78-1</f>
        <v>-0.71464897350835255</v>
      </c>
      <c r="G79" s="21"/>
      <c r="H79" s="21"/>
      <c r="I79" s="21"/>
      <c r="J79" s="21"/>
      <c r="K79" s="13">
        <f>K78/F78-1</f>
        <v>-2.299256447281961E-2</v>
      </c>
      <c r="L79" s="20">
        <f>L78/G78-1</f>
        <v>1.2418032786885247</v>
      </c>
      <c r="M79" s="20">
        <f t="shared" ref="M79" si="93">M78/H78-1</f>
        <v>1.6867830423940151</v>
      </c>
      <c r="N79" s="20">
        <f t="shared" ref="N79" si="94">N78/I78-1</f>
        <v>0.89030148928441677</v>
      </c>
      <c r="O79" s="20">
        <f t="shared" ref="O79" si="95">O78/J78-1</f>
        <v>0.4258899676375405</v>
      </c>
      <c r="P79" s="13">
        <f>P78/K78-1</f>
        <v>0.98009478835390018</v>
      </c>
      <c r="Q79" s="20">
        <f>Q78/L78-1</f>
        <v>-0.14937090009678455</v>
      </c>
      <c r="R79" s="20">
        <f t="shared" ref="R79:T79" si="96">R78/M78-1</f>
        <v>-0.19435678485242247</v>
      </c>
      <c r="S79" s="20">
        <f t="shared" si="96"/>
        <v>-0.24452344350499611</v>
      </c>
      <c r="T79" s="20">
        <f t="shared" si="96"/>
        <v>0.16954153427144814</v>
      </c>
      <c r="U79" s="13">
        <f>U78/P78-1</f>
        <v>-0.11538953796832874</v>
      </c>
      <c r="V79" s="79">
        <f>V78/Q78-1</f>
        <v>-3.1226295828065687E-2</v>
      </c>
      <c r="W79" s="101">
        <f t="shared" ref="W79:Y79" si="97">W78/R78-1</f>
        <v>-0.13594470046082952</v>
      </c>
      <c r="X79" s="101">
        <f t="shared" si="97"/>
        <v>-0.17334350756708639</v>
      </c>
      <c r="Y79" s="101">
        <f t="shared" si="97"/>
        <v>-0.2722685814088881</v>
      </c>
      <c r="Z79" s="106">
        <f>Z78/U78-1</f>
        <v>-0.16099422658846485</v>
      </c>
      <c r="AA79" s="106">
        <f>AA78/Z78-1</f>
        <v>-0.14617837671021505</v>
      </c>
      <c r="AB79" s="106">
        <f t="shared" ref="AB79:AC79" si="98">AB78/AA78-1</f>
        <v>-4.417670682730912E-2</v>
      </c>
      <c r="AC79" s="106">
        <f t="shared" si="98"/>
        <v>-4.6218487394958041E-2</v>
      </c>
    </row>
    <row r="80" spans="1:29" ht="15" customHeight="1" outlineLevel="1">
      <c r="A80" s="3" t="s">
        <v>30</v>
      </c>
      <c r="B80" s="3"/>
      <c r="C80" s="10">
        <v>0</v>
      </c>
      <c r="D80" s="14">
        <v>0</v>
      </c>
      <c r="E80" s="14">
        <v>-37.587001999999998</v>
      </c>
      <c r="F80" s="15">
        <v>0</v>
      </c>
      <c r="G80" s="47">
        <v>0</v>
      </c>
      <c r="H80" s="47">
        <v>0</v>
      </c>
      <c r="I80" s="47">
        <v>0</v>
      </c>
      <c r="J80" s="47">
        <v>0</v>
      </c>
      <c r="K80" s="46">
        <v>0</v>
      </c>
      <c r="L80" s="47">
        <v>0</v>
      </c>
      <c r="M80" s="47">
        <v>0</v>
      </c>
      <c r="N80" s="47">
        <v>0</v>
      </c>
      <c r="O80" s="47">
        <v>0</v>
      </c>
      <c r="P80" s="46">
        <v>0</v>
      </c>
      <c r="Q80" s="47">
        <v>0</v>
      </c>
      <c r="R80" s="47">
        <v>0</v>
      </c>
      <c r="S80" s="47">
        <v>0</v>
      </c>
      <c r="T80" s="47">
        <v>0</v>
      </c>
      <c r="U80" s="46">
        <v>0</v>
      </c>
    </row>
    <row r="81" spans="1:29" ht="15" customHeight="1" outlineLevel="1">
      <c r="A81" s="3" t="s">
        <v>31</v>
      </c>
      <c r="B81" s="3"/>
      <c r="C81" s="3"/>
      <c r="D81" s="46">
        <v>0</v>
      </c>
      <c r="E81" s="46">
        <v>0</v>
      </c>
      <c r="F81" s="46">
        <v>0</v>
      </c>
      <c r="G81" s="47">
        <v>0</v>
      </c>
      <c r="H81" s="47">
        <v>0</v>
      </c>
      <c r="I81" s="47">
        <v>0</v>
      </c>
      <c r="J81" s="47">
        <v>0</v>
      </c>
      <c r="K81" s="14">
        <v>0</v>
      </c>
      <c r="L81" s="21">
        <v>0</v>
      </c>
      <c r="M81" s="21">
        <v>0</v>
      </c>
      <c r="N81" s="21">
        <v>0</v>
      </c>
      <c r="O81" s="21">
        <v>0</v>
      </c>
      <c r="P81" s="14">
        <v>0</v>
      </c>
      <c r="Q81" s="21">
        <v>38.514999000000003</v>
      </c>
      <c r="R81" s="21">
        <v>-0.215</v>
      </c>
      <c r="S81" s="21">
        <v>0.09</v>
      </c>
      <c r="T81" s="21">
        <v>-0.70199999999999996</v>
      </c>
      <c r="U81" s="14">
        <v>37.688000000000002</v>
      </c>
    </row>
    <row r="82" spans="1:29" ht="15" customHeight="1" thickBot="1">
      <c r="A82" s="3" t="s">
        <v>12</v>
      </c>
      <c r="B82" s="14">
        <v>-87.459998999999996</v>
      </c>
      <c r="C82" s="14">
        <v>-16.367000999999998</v>
      </c>
      <c r="D82" s="14">
        <v>-24.150998999999999</v>
      </c>
      <c r="E82" s="14">
        <v>-130.51100199999999</v>
      </c>
      <c r="F82" s="14">
        <v>121.818001</v>
      </c>
      <c r="G82" s="21">
        <v>21.292000000000002</v>
      </c>
      <c r="H82" s="21">
        <v>47.627997999999998</v>
      </c>
      <c r="I82" s="21">
        <v>37.032001000000001</v>
      </c>
      <c r="J82" s="21">
        <v>-1.9730000000000001</v>
      </c>
      <c r="K82" s="14">
        <v>93.323997000000006</v>
      </c>
      <c r="L82" s="21">
        <v>-35.164000999999999</v>
      </c>
      <c r="M82" s="21">
        <v>25.639999</v>
      </c>
      <c r="N82" s="21">
        <v>47.855998999999997</v>
      </c>
      <c r="O82" s="21">
        <v>51.558998000000003</v>
      </c>
      <c r="P82" s="14">
        <v>84.499001000000007</v>
      </c>
      <c r="Q82" s="21">
        <v>42.606997999999997</v>
      </c>
      <c r="R82" s="21">
        <v>65.067001000000005</v>
      </c>
      <c r="S82" s="21">
        <v>68.001998999999998</v>
      </c>
      <c r="T82" s="21">
        <v>34.631000999999998</v>
      </c>
      <c r="U82" s="14">
        <v>209.524002</v>
      </c>
      <c r="V82" s="63">
        <v>19.587</v>
      </c>
    </row>
    <row r="83" spans="1:29" s="12" customFormat="1" ht="15" customHeight="1" thickBot="1">
      <c r="A83" s="48" t="s">
        <v>73</v>
      </c>
      <c r="B83" s="26"/>
      <c r="C83" s="26"/>
      <c r="D83" s="26">
        <f t="shared" ref="D83:U83" si="99">D4+D23+D55+D69+D78</f>
        <v>62.658013999999937</v>
      </c>
      <c r="E83" s="26">
        <f t="shared" si="99"/>
        <v>97.696992999999935</v>
      </c>
      <c r="F83" s="26">
        <f t="shared" si="99"/>
        <v>198.14998600000001</v>
      </c>
      <c r="G83" s="27">
        <f t="shared" si="99"/>
        <v>37.114010000000022</v>
      </c>
      <c r="H83" s="27">
        <f t="shared" si="99"/>
        <v>67.308993000000029</v>
      </c>
      <c r="I83" s="27">
        <f t="shared" si="99"/>
        <v>60.490993000000017</v>
      </c>
      <c r="J83" s="27">
        <f t="shared" si="99"/>
        <v>36.734986999999997</v>
      </c>
      <c r="K83" s="26">
        <f t="shared" si="99"/>
        <v>190.99399199999979</v>
      </c>
      <c r="L83" s="27">
        <f t="shared" si="99"/>
        <v>-18.899990000000003</v>
      </c>
      <c r="M83" s="27">
        <f t="shared" si="99"/>
        <v>40.196993999999954</v>
      </c>
      <c r="N83" s="27">
        <f t="shared" si="99"/>
        <v>61.672002999999975</v>
      </c>
      <c r="O83" s="27">
        <f t="shared" si="99"/>
        <v>66.111018999999985</v>
      </c>
      <c r="P83" s="26">
        <f t="shared" si="99"/>
        <v>143.96102400000004</v>
      </c>
      <c r="Q83" s="27">
        <f t="shared" si="99"/>
        <v>20.440995999999991</v>
      </c>
      <c r="R83" s="27">
        <f t="shared" si="99"/>
        <v>76.759000999999984</v>
      </c>
      <c r="S83" s="27">
        <f t="shared" si="99"/>
        <v>84.172987000000063</v>
      </c>
      <c r="T83" s="27">
        <f t="shared" si="99"/>
        <v>52.740989999999996</v>
      </c>
      <c r="U83" s="26">
        <f t="shared" si="99"/>
        <v>233.33199299999993</v>
      </c>
      <c r="V83" s="314">
        <f>V41+V55+V78+V69</f>
        <v>29.073000000000061</v>
      </c>
      <c r="W83" s="125">
        <f t="shared" ref="W83:AC83" si="100">W41+W55+W78+W69</f>
        <v>84.953364987323098</v>
      </c>
      <c r="X83" s="125">
        <f t="shared" si="100"/>
        <v>90.284950797260436</v>
      </c>
      <c r="Y83" s="125">
        <f t="shared" si="100"/>
        <v>72.979284887190602</v>
      </c>
      <c r="Z83" s="142">
        <f>SUM(V83:Y83)</f>
        <v>277.2906006717742</v>
      </c>
      <c r="AA83" s="142">
        <f t="shared" ca="1" si="100"/>
        <v>334.16543224264331</v>
      </c>
      <c r="AB83" s="142">
        <f t="shared" ca="1" si="100"/>
        <v>397.86654775372034</v>
      </c>
      <c r="AC83" s="142">
        <f t="shared" ca="1" si="100"/>
        <v>466.96950170999804</v>
      </c>
    </row>
    <row r="84" spans="1:29" ht="15" customHeight="1">
      <c r="A84" s="3"/>
      <c r="B84" s="14"/>
      <c r="C84" s="14"/>
      <c r="D84" s="14"/>
      <c r="E84" s="14"/>
      <c r="F84" s="14"/>
      <c r="G84" s="21"/>
      <c r="H84" s="21"/>
      <c r="I84" s="21"/>
      <c r="J84" s="21"/>
      <c r="K84" s="14"/>
      <c r="L84" s="21"/>
      <c r="M84" s="21"/>
      <c r="N84" s="21"/>
      <c r="O84" s="21"/>
      <c r="P84" s="14"/>
      <c r="Q84" s="21"/>
      <c r="R84" s="21"/>
      <c r="S84" s="21"/>
      <c r="T84" s="21"/>
      <c r="U84" s="14"/>
    </row>
    <row r="85" spans="1:29" ht="15" customHeight="1">
      <c r="A85" s="3" t="s">
        <v>13</v>
      </c>
      <c r="B85" s="14">
        <v>20.048999999999999</v>
      </c>
      <c r="C85" s="14">
        <v>23.111999999999998</v>
      </c>
      <c r="D85" s="14">
        <v>3.9550000000000001</v>
      </c>
      <c r="E85" s="14">
        <v>8.2780000000000005</v>
      </c>
      <c r="F85" s="14">
        <v>-28.667998999999998</v>
      </c>
      <c r="G85" s="21">
        <v>-4.585</v>
      </c>
      <c r="H85" s="21">
        <v>-11.81</v>
      </c>
      <c r="I85" s="21">
        <v>-9.5559999999999992</v>
      </c>
      <c r="J85" s="21">
        <v>-2.8029999999999999</v>
      </c>
      <c r="K85" s="14">
        <v>-26.166</v>
      </c>
      <c r="L85" s="21">
        <v>9.3279999999999994</v>
      </c>
      <c r="M85" s="21">
        <v>-7.415</v>
      </c>
      <c r="N85" s="21">
        <v>-13.215999999999999</v>
      </c>
      <c r="O85" s="21">
        <v>-12.327999999999999</v>
      </c>
      <c r="P85" s="14">
        <v>-22.138000000000002</v>
      </c>
      <c r="Q85" s="21">
        <v>-16.888000000000002</v>
      </c>
      <c r="R85" s="21">
        <v>-15.308999999999999</v>
      </c>
      <c r="S85" s="21">
        <v>-17.891999999999999</v>
      </c>
      <c r="T85" s="21">
        <v>-6.2679999999999998</v>
      </c>
      <c r="U85" s="14">
        <v>-56.145000000000003</v>
      </c>
      <c r="V85" s="63">
        <v>-1.4630000000000001</v>
      </c>
    </row>
    <row r="86" spans="1:29" ht="15" customHeight="1">
      <c r="A86" s="17" t="s">
        <v>32</v>
      </c>
      <c r="B86" s="14"/>
      <c r="C86" s="14"/>
      <c r="D86" s="14">
        <v>-19.95</v>
      </c>
      <c r="E86" s="14">
        <v>-33.343000000000004</v>
      </c>
      <c r="F86" s="14">
        <v>-16.548999999999999</v>
      </c>
      <c r="G86" s="21">
        <v>-3.7719999999999998</v>
      </c>
      <c r="H86" s="21">
        <v>-4.7160000000000002</v>
      </c>
      <c r="I86" s="21">
        <v>-5.694</v>
      </c>
      <c r="J86" s="21">
        <v>-9.4450000000000003</v>
      </c>
      <c r="K86" s="14">
        <v>-23.626999999999999</v>
      </c>
      <c r="L86" s="21">
        <v>-4.28</v>
      </c>
      <c r="M86" s="21">
        <v>-3.8380000000000001</v>
      </c>
      <c r="N86" s="21">
        <v>-3.6459999999999999</v>
      </c>
      <c r="O86" s="21">
        <v>-3.92</v>
      </c>
      <c r="P86" s="14">
        <v>-15.683999999999999</v>
      </c>
      <c r="Q86" s="21">
        <v>12.048999999999999</v>
      </c>
      <c r="R86" s="21">
        <v>-3.13</v>
      </c>
      <c r="S86" s="21">
        <v>-4.2690000000000001</v>
      </c>
      <c r="T86" s="21">
        <v>-4.9080000000000004</v>
      </c>
      <c r="U86" s="14">
        <v>-0.25800000000000001</v>
      </c>
      <c r="V86" s="24">
        <v>-2.5139999999999998</v>
      </c>
    </row>
    <row r="87" spans="1:29" ht="15" customHeight="1">
      <c r="A87" s="18" t="s">
        <v>33</v>
      </c>
      <c r="B87" s="14"/>
      <c r="C87" s="14"/>
      <c r="D87" s="14">
        <f>D85+D86</f>
        <v>-15.994999999999999</v>
      </c>
      <c r="E87" s="14">
        <f>E85+E86</f>
        <v>-25.065000000000005</v>
      </c>
      <c r="F87" s="14">
        <f>F85+F86</f>
        <v>-45.216999000000001</v>
      </c>
      <c r="G87" s="21">
        <f>G86+G85</f>
        <v>-8.3569999999999993</v>
      </c>
      <c r="H87" s="21">
        <f>H85+H86</f>
        <v>-16.526</v>
      </c>
      <c r="I87" s="21">
        <f>I85+I86</f>
        <v>-15.25</v>
      </c>
      <c r="J87" s="21">
        <f>J85+J86</f>
        <v>-12.248000000000001</v>
      </c>
      <c r="K87" s="14">
        <f>K85+K86</f>
        <v>-49.792999999999999</v>
      </c>
      <c r="L87" s="21">
        <f>SUM(L85:L86)</f>
        <v>5.0479999999999992</v>
      </c>
      <c r="M87" s="21">
        <f>SUM(M85:M86)</f>
        <v>-11.253</v>
      </c>
      <c r="N87" s="21">
        <f>N85+N86</f>
        <v>-16.861999999999998</v>
      </c>
      <c r="O87" s="21">
        <f>O85+O86</f>
        <v>-16.247999999999998</v>
      </c>
      <c r="P87" s="14">
        <f>P85+P86</f>
        <v>-37.822000000000003</v>
      </c>
      <c r="Q87" s="21">
        <f>Q85+Q86</f>
        <v>-4.8390000000000022</v>
      </c>
      <c r="R87" s="21">
        <f>SUM(R85:R86)</f>
        <v>-18.439</v>
      </c>
      <c r="S87" s="21">
        <f>S85+S86</f>
        <v>-22.161000000000001</v>
      </c>
      <c r="T87" s="21">
        <f>T85+T86</f>
        <v>-11.176</v>
      </c>
      <c r="U87" s="14">
        <f>U85+U86</f>
        <v>-56.403000000000006</v>
      </c>
      <c r="V87" s="321">
        <f>V85+V86</f>
        <v>-3.9769999999999999</v>
      </c>
      <c r="W87" s="114">
        <f>-W83*W88</f>
        <v>-22.087874896704005</v>
      </c>
      <c r="X87" s="114">
        <f t="shared" ref="X87:Y87" si="101">-X83*X88</f>
        <v>-24.376936715260321</v>
      </c>
      <c r="Y87" s="114">
        <f t="shared" si="101"/>
        <v>-19.704406919541462</v>
      </c>
      <c r="Z87" s="104">
        <f>SUM(V87:Y87)</f>
        <v>-70.146218531505781</v>
      </c>
      <c r="AA87" s="104">
        <f ca="1">-AA83*AA88</f>
        <v>-86.214681518601978</v>
      </c>
      <c r="AB87" s="104">
        <f t="shared" ref="AB87:AC87" ca="1" si="102">-AB83*AB88</f>
        <v>-102.64956932045985</v>
      </c>
      <c r="AC87" s="104">
        <f t="shared" ca="1" si="102"/>
        <v>-120.4781314411795</v>
      </c>
    </row>
    <row r="88" spans="1:29" ht="15" customHeight="1">
      <c r="A88" s="17" t="s">
        <v>34</v>
      </c>
      <c r="B88" s="14"/>
      <c r="C88" s="14"/>
      <c r="D88" s="13">
        <f>-D87/D83</f>
        <v>0.25527460860792706</v>
      </c>
      <c r="E88" s="13">
        <f t="shared" ref="E88:L88" si="103">-E87/E83</f>
        <v>0.25655856163351948</v>
      </c>
      <c r="F88" s="13">
        <f t="shared" si="103"/>
        <v>0.22819582233026248</v>
      </c>
      <c r="G88" s="20">
        <f t="shared" si="103"/>
        <v>0.22517103379559347</v>
      </c>
      <c r="H88" s="20">
        <f t="shared" si="103"/>
        <v>0.24552439820337221</v>
      </c>
      <c r="I88" s="20">
        <f t="shared" si="103"/>
        <v>0.25210364789349704</v>
      </c>
      <c r="J88" s="20">
        <f t="shared" si="103"/>
        <v>0.33341511731037232</v>
      </c>
      <c r="K88" s="13">
        <f t="shared" si="103"/>
        <v>0.26070453566937357</v>
      </c>
      <c r="L88" s="20">
        <f t="shared" si="103"/>
        <v>0.26709008840745413</v>
      </c>
      <c r="M88" s="20">
        <f>-M87/M83</f>
        <v>0.27994630643276491</v>
      </c>
      <c r="N88" s="20">
        <f t="shared" ref="N88:O88" si="104">-N87/N83</f>
        <v>0.27341417790500505</v>
      </c>
      <c r="O88" s="20">
        <f t="shared" si="104"/>
        <v>0.2457684096504397</v>
      </c>
      <c r="P88" s="13">
        <f>-P87/P83</f>
        <v>0.26272388837689842</v>
      </c>
      <c r="Q88" s="20">
        <f>-Q87/Q83</f>
        <v>0.23673014759163419</v>
      </c>
      <c r="R88" s="20">
        <f t="shared" ref="R88:V88" si="105">-R87/R83</f>
        <v>0.24021938482497973</v>
      </c>
      <c r="S88" s="20">
        <f t="shared" si="105"/>
        <v>0.26327923945481446</v>
      </c>
      <c r="T88" s="20">
        <f t="shared" si="105"/>
        <v>0.21190349289992472</v>
      </c>
      <c r="U88" s="13">
        <f>-U87/U83</f>
        <v>0.2417285314148927</v>
      </c>
      <c r="V88" s="322">
        <f t="shared" si="105"/>
        <v>0.13679358855295262</v>
      </c>
      <c r="W88" s="134">
        <v>0.26</v>
      </c>
      <c r="X88" s="134">
        <v>0.27</v>
      </c>
      <c r="Y88" s="134">
        <v>0.27</v>
      </c>
      <c r="Z88" s="137">
        <f>-Z87/Z83</f>
        <v>0.25297005510308329</v>
      </c>
      <c r="AA88" s="137">
        <v>0.25800000000000001</v>
      </c>
      <c r="AB88" s="137">
        <v>0.25800000000000001</v>
      </c>
      <c r="AC88" s="137">
        <v>0.25800000000000001</v>
      </c>
    </row>
    <row r="89" spans="1:29" ht="15" customHeight="1">
      <c r="A89" s="17"/>
      <c r="B89" s="14"/>
      <c r="C89" s="14"/>
      <c r="D89" s="14"/>
      <c r="E89" s="14"/>
      <c r="F89" s="14"/>
      <c r="G89" s="21"/>
      <c r="H89" s="21"/>
      <c r="I89" s="21"/>
      <c r="J89" s="21"/>
      <c r="K89" s="14"/>
      <c r="L89" s="21"/>
      <c r="M89" s="21"/>
      <c r="N89" s="21"/>
      <c r="O89" s="21"/>
      <c r="P89" s="14"/>
      <c r="Q89" s="21"/>
      <c r="R89" s="21"/>
      <c r="S89" s="21"/>
      <c r="T89" s="21"/>
      <c r="U89" s="14"/>
    </row>
    <row r="90" spans="1:29" ht="15" customHeight="1" thickBot="1">
      <c r="A90" s="4" t="s">
        <v>14</v>
      </c>
      <c r="B90" s="14">
        <v>-67.411002999999994</v>
      </c>
      <c r="C90" s="14">
        <v>6.7450000000000001</v>
      </c>
      <c r="D90" s="14">
        <v>-20.195999</v>
      </c>
      <c r="E90" s="14">
        <v>-122.233002</v>
      </c>
      <c r="F90" s="14">
        <v>93.150002000000001</v>
      </c>
      <c r="G90" s="21">
        <v>16.707001000000002</v>
      </c>
      <c r="H90" s="21">
        <v>35.818001000000002</v>
      </c>
      <c r="I90" s="21">
        <v>27.475999999999999</v>
      </c>
      <c r="J90" s="21">
        <v>-4.7759999999999998</v>
      </c>
      <c r="K90" s="14">
        <v>67.157996999999995</v>
      </c>
      <c r="L90" s="21">
        <v>-25.835999999999999</v>
      </c>
      <c r="M90" s="21">
        <v>18.225000000000001</v>
      </c>
      <c r="N90" s="21">
        <v>34.639999000000003</v>
      </c>
      <c r="O90" s="21">
        <v>39.230998999999997</v>
      </c>
      <c r="P90" s="14">
        <v>62.360999999999997</v>
      </c>
      <c r="Q90" s="21">
        <v>25.719000000000001</v>
      </c>
      <c r="R90" s="21">
        <v>49.757998999999998</v>
      </c>
      <c r="S90" s="21">
        <v>50.110000999999997</v>
      </c>
      <c r="T90" s="21">
        <v>28.363001000000001</v>
      </c>
      <c r="U90" s="14">
        <v>153.378998</v>
      </c>
      <c r="V90" s="63">
        <v>18.123999999999999</v>
      </c>
    </row>
    <row r="91" spans="1:29" s="12" customFormat="1" ht="15" customHeight="1" thickBot="1">
      <c r="A91" s="7" t="s">
        <v>62</v>
      </c>
      <c r="B91" s="8"/>
      <c r="C91" s="8"/>
      <c r="D91" s="26">
        <v>46.66301399999994</v>
      </c>
      <c r="E91" s="26">
        <v>72.631992999999937</v>
      </c>
      <c r="F91" s="26">
        <v>152.93298700000003</v>
      </c>
      <c r="G91" s="27">
        <f t="shared" ref="G91:U91" si="106">G4+G23+G55+G69+G78+G87</f>
        <v>28.757010000000022</v>
      </c>
      <c r="H91" s="27">
        <f t="shared" si="106"/>
        <v>50.782993000000033</v>
      </c>
      <c r="I91" s="27">
        <f t="shared" si="106"/>
        <v>45.240993000000017</v>
      </c>
      <c r="J91" s="27">
        <f t="shared" si="106"/>
        <v>24.486986999999996</v>
      </c>
      <c r="K91" s="26">
        <f t="shared" si="106"/>
        <v>141.20099199999979</v>
      </c>
      <c r="L91" s="27">
        <f t="shared" si="106"/>
        <v>-13.851990000000004</v>
      </c>
      <c r="M91" s="27">
        <f t="shared" si="106"/>
        <v>28.943993999999954</v>
      </c>
      <c r="N91" s="27">
        <f t="shared" si="106"/>
        <v>44.81000299999998</v>
      </c>
      <c r="O91" s="27">
        <f t="shared" si="106"/>
        <v>49.863018999999987</v>
      </c>
      <c r="P91" s="26">
        <f t="shared" si="106"/>
        <v>106.13902400000003</v>
      </c>
      <c r="Q91" s="27">
        <f t="shared" si="106"/>
        <v>15.601995999999989</v>
      </c>
      <c r="R91" s="27">
        <f t="shared" si="106"/>
        <v>58.320000999999984</v>
      </c>
      <c r="S91" s="27">
        <f t="shared" si="106"/>
        <v>62.011987000000062</v>
      </c>
      <c r="T91" s="27">
        <f t="shared" si="106"/>
        <v>41.564989999999995</v>
      </c>
      <c r="U91" s="26">
        <f t="shared" si="106"/>
        <v>176.92899299999993</v>
      </c>
      <c r="V91" s="323">
        <f>V83+V87</f>
        <v>25.09600000000006</v>
      </c>
      <c r="W91" s="135">
        <f>W83+W87</f>
        <v>62.86549009061909</v>
      </c>
      <c r="X91" s="135">
        <f t="shared" ref="X91:Y91" si="107">X83+X87</f>
        <v>65.908014082000108</v>
      </c>
      <c r="Y91" s="135">
        <f t="shared" si="107"/>
        <v>53.27487796764914</v>
      </c>
      <c r="Z91" s="142">
        <f>SUM(V91:Y91)</f>
        <v>207.14438214026839</v>
      </c>
      <c r="AA91" s="142">
        <f ca="1">AA83+AA87</f>
        <v>247.95075072404131</v>
      </c>
      <c r="AB91" s="142">
        <f t="shared" ref="AB91:AC91" ca="1" si="108">AB83+AB87</f>
        <v>295.21697843326046</v>
      </c>
      <c r="AC91" s="142">
        <f t="shared" ca="1" si="108"/>
        <v>346.49137026881851</v>
      </c>
    </row>
    <row r="92" spans="1:29" ht="15" customHeight="1">
      <c r="A92" s="4" t="s">
        <v>75</v>
      </c>
      <c r="B92" s="10"/>
      <c r="C92" s="10"/>
      <c r="D92" s="13">
        <f t="shared" ref="D92:U92" si="109">D91/D4</f>
        <v>5.8754517199930481E-2</v>
      </c>
      <c r="E92" s="13">
        <f t="shared" si="109"/>
        <v>8.0768716533861765E-2</v>
      </c>
      <c r="F92" s="13">
        <f t="shared" si="109"/>
        <v>0.12971701422568863</v>
      </c>
      <c r="G92" s="20">
        <f t="shared" si="109"/>
        <v>0.11072823753667242</v>
      </c>
      <c r="H92" s="20">
        <f t="shared" si="109"/>
        <v>0.12815735412603818</v>
      </c>
      <c r="I92" s="20">
        <f t="shared" si="109"/>
        <v>0.11453677006212883</v>
      </c>
      <c r="J92" s="20">
        <f t="shared" si="109"/>
        <v>8.0382191904343953E-2</v>
      </c>
      <c r="K92" s="13">
        <f t="shared" si="109"/>
        <v>0.10416232692294117</v>
      </c>
      <c r="L92" s="20">
        <f t="shared" si="109"/>
        <v>-6.4052778417738307E-2</v>
      </c>
      <c r="M92" s="20">
        <f t="shared" si="109"/>
        <v>7.6633857939469113E-2</v>
      </c>
      <c r="N92" s="20">
        <f t="shared" si="109"/>
        <v>0.1156229005049474</v>
      </c>
      <c r="O92" s="20">
        <f t="shared" si="109"/>
        <v>0.12824454353534734</v>
      </c>
      <c r="P92" s="13">
        <f t="shared" si="109"/>
        <v>7.7455873846208681E-2</v>
      </c>
      <c r="Q92" s="20">
        <f t="shared" si="109"/>
        <v>6.4888273360948864E-2</v>
      </c>
      <c r="R92" s="20">
        <f t="shared" si="109"/>
        <v>0.13938548592248437</v>
      </c>
      <c r="S92" s="20">
        <f t="shared" si="109"/>
        <v>0.14276338090425436</v>
      </c>
      <c r="T92" s="20">
        <f t="shared" si="109"/>
        <v>0.11936177032113449</v>
      </c>
      <c r="U92" s="13">
        <f t="shared" si="109"/>
        <v>0.12274393211193091</v>
      </c>
      <c r="V92" s="79">
        <f>V91/V4</f>
        <v>8.792379190621856E-2</v>
      </c>
      <c r="W92" s="101">
        <f t="shared" ref="W92:Z92" si="110">W91/W4</f>
        <v>0.13802860870776235</v>
      </c>
      <c r="X92" s="101">
        <f t="shared" si="110"/>
        <v>0.15476595243232813</v>
      </c>
      <c r="Y92" s="101">
        <f t="shared" si="110"/>
        <v>0.13022352875216653</v>
      </c>
      <c r="Z92" s="106">
        <f t="shared" si="110"/>
        <v>0.13145005580202926</v>
      </c>
      <c r="AA92" s="106">
        <f t="shared" ref="AA92" ca="1" si="111">AA91/AA4</f>
        <v>0.1423676630009138</v>
      </c>
      <c r="AB92" s="106">
        <f t="shared" ref="AB92" ca="1" si="112">AB91/AB4</f>
        <v>0.1509927995194589</v>
      </c>
      <c r="AC92" s="106">
        <f t="shared" ref="AC92" ca="1" si="113">AC91/AC4</f>
        <v>0.15777213530949932</v>
      </c>
    </row>
    <row r="93" spans="1:29" ht="15" customHeight="1">
      <c r="A93" s="4"/>
      <c r="B93" s="10"/>
      <c r="C93" s="10"/>
      <c r="D93" s="10"/>
      <c r="E93" s="10"/>
      <c r="F93" s="10"/>
      <c r="G93" s="19"/>
      <c r="H93" s="19"/>
      <c r="I93" s="19"/>
      <c r="J93" s="19"/>
      <c r="K93" s="10"/>
      <c r="L93" s="19"/>
      <c r="M93" s="19"/>
      <c r="N93" s="19"/>
      <c r="O93" s="19"/>
      <c r="P93" s="10"/>
      <c r="Q93" s="19"/>
      <c r="R93" s="19"/>
      <c r="S93" s="19"/>
      <c r="T93" s="19"/>
      <c r="U93" s="10"/>
    </row>
    <row r="94" spans="1:29" ht="15" customHeight="1" thickBot="1">
      <c r="A94" s="3" t="s">
        <v>15</v>
      </c>
      <c r="B94" s="3"/>
      <c r="C94" s="3"/>
      <c r="D94" s="3"/>
      <c r="E94" s="3"/>
      <c r="F94" s="3"/>
      <c r="G94" s="23"/>
      <c r="H94" s="23"/>
      <c r="I94" s="23"/>
      <c r="J94" s="23"/>
      <c r="K94" s="3"/>
      <c r="L94" s="23"/>
      <c r="M94" s="23"/>
      <c r="N94" s="23"/>
      <c r="O94" s="23"/>
      <c r="P94" s="3"/>
      <c r="Q94" s="23"/>
      <c r="R94" s="23"/>
      <c r="S94" s="23"/>
      <c r="T94" s="23"/>
      <c r="U94" s="3"/>
    </row>
    <row r="95" spans="1:29" s="12" customFormat="1" ht="15" customHeight="1" outlineLevel="1" thickBot="1">
      <c r="A95" s="48" t="s">
        <v>16</v>
      </c>
      <c r="D95" s="55">
        <f>D91/D98</f>
        <v>0.43141486216589076</v>
      </c>
      <c r="E95" s="55">
        <f>E91/E98</f>
        <v>0.59471772828810654</v>
      </c>
      <c r="F95" s="26">
        <v>0.59</v>
      </c>
      <c r="G95" s="27">
        <f t="shared" ref="G95:U95" si="114">G91/G98</f>
        <v>0.18333507857658929</v>
      </c>
      <c r="H95" s="27">
        <f t="shared" si="114"/>
        <v>0.32527871437751482</v>
      </c>
      <c r="I95" s="27">
        <f t="shared" si="114"/>
        <v>0.2939805871801936</v>
      </c>
      <c r="J95" s="27">
        <f t="shared" si="114"/>
        <v>0.16135382221557659</v>
      </c>
      <c r="K95" s="26">
        <f t="shared" si="114"/>
        <v>0.91381674283402847</v>
      </c>
      <c r="L95" s="27">
        <f t="shared" si="114"/>
        <v>-9.1809432193180954E-2</v>
      </c>
      <c r="M95" s="27">
        <f t="shared" si="114"/>
        <v>0.19134180151873587</v>
      </c>
      <c r="N95" s="27">
        <f t="shared" si="114"/>
        <v>0.29661757228045482</v>
      </c>
      <c r="O95" s="27">
        <f t="shared" si="114"/>
        <v>0.33126671339020552</v>
      </c>
      <c r="P95" s="26">
        <f t="shared" si="114"/>
        <v>0.70360693151079934</v>
      </c>
      <c r="Q95" s="27">
        <f t="shared" si="114"/>
        <v>0.10479839898204865</v>
      </c>
      <c r="R95" s="27">
        <f t="shared" si="114"/>
        <v>0.39475213996167002</v>
      </c>
      <c r="S95" s="27">
        <f t="shared" si="114"/>
        <v>0.42043193172919519</v>
      </c>
      <c r="T95" s="27">
        <f t="shared" si="114"/>
        <v>0.28504823543304242</v>
      </c>
      <c r="U95" s="26">
        <f t="shared" si="114"/>
        <v>1.1996395934795399</v>
      </c>
      <c r="V95" s="323">
        <f>V91/V98</f>
        <v>0.17262250299410253</v>
      </c>
      <c r="W95" s="135">
        <f t="shared" ref="W95:Y95" si="115">W91/W98</f>
        <v>0.42765760071778208</v>
      </c>
      <c r="X95" s="135">
        <f t="shared" si="115"/>
        <v>0.4493176556387744</v>
      </c>
      <c r="Y95" s="135">
        <f t="shared" si="115"/>
        <v>0.36755874138425998</v>
      </c>
      <c r="Z95" s="142">
        <f>SUM(V95:Y95)</f>
        <v>1.4171565007349189</v>
      </c>
      <c r="AA95" s="142">
        <f ca="1">AA91/AA98</f>
        <v>1.7188975975343077</v>
      </c>
      <c r="AB95" s="142">
        <f ca="1">AB91/AB98</f>
        <v>2.0672391125346183</v>
      </c>
      <c r="AC95" s="142">
        <f ca="1">AC91/AC98</f>
        <v>2.4446196004527971</v>
      </c>
    </row>
    <row r="96" spans="1:29" ht="15" customHeight="1" outlineLevel="1">
      <c r="A96" s="3"/>
      <c r="D96" s="52"/>
      <c r="E96" s="52"/>
      <c r="F96" s="14"/>
      <c r="G96" s="21"/>
      <c r="H96" s="21"/>
      <c r="I96" s="21"/>
      <c r="J96" s="21"/>
      <c r="K96" s="14"/>
      <c r="L96" s="21"/>
      <c r="M96" s="21"/>
      <c r="N96" s="21"/>
      <c r="O96" s="21"/>
      <c r="P96" s="14"/>
      <c r="Q96" s="21"/>
      <c r="R96" s="21"/>
      <c r="S96" s="21"/>
      <c r="T96" s="21"/>
      <c r="U96" s="14"/>
      <c r="V96" s="324"/>
      <c r="W96" s="195"/>
      <c r="X96" s="195"/>
      <c r="Y96" s="195"/>
      <c r="Z96" s="144"/>
      <c r="AA96" s="106">
        <f t="shared" ref="AA96:AB96" ca="1" si="116">AA95/Z95-1</f>
        <v>0.21292009502331588</v>
      </c>
      <c r="AB96" s="106">
        <f t="shared" ca="1" si="116"/>
        <v>0.20265402400933774</v>
      </c>
      <c r="AC96" s="106">
        <f ca="1">AC95/AB95-1</f>
        <v>0.18255289658073326</v>
      </c>
    </row>
    <row r="97" spans="1:30" ht="15" customHeight="1">
      <c r="A97" s="3" t="s">
        <v>17</v>
      </c>
      <c r="E97" s="3"/>
      <c r="F97" s="3"/>
      <c r="G97" s="23"/>
      <c r="H97" s="23"/>
      <c r="I97" s="23"/>
      <c r="J97" s="23"/>
      <c r="K97" s="3"/>
      <c r="L97" s="23"/>
      <c r="M97" s="23"/>
      <c r="N97" s="23"/>
      <c r="O97" s="23"/>
      <c r="P97" s="3"/>
      <c r="Q97" s="23"/>
      <c r="R97" s="23"/>
      <c r="S97" s="23"/>
      <c r="T97" s="23"/>
      <c r="U97" s="3"/>
    </row>
    <row r="98" spans="1:30" ht="15" customHeight="1" outlineLevel="1">
      <c r="A98" s="3" t="s">
        <v>16</v>
      </c>
      <c r="D98" s="52">
        <v>108.162741</v>
      </c>
      <c r="E98" s="52">
        <v>122.12851499999999</v>
      </c>
      <c r="F98" s="14">
        <v>156.66639699999999</v>
      </c>
      <c r="G98" s="21">
        <v>156.85492500000001</v>
      </c>
      <c r="H98" s="21">
        <v>156.121476</v>
      </c>
      <c r="I98" s="19">
        <v>153.89108999999999</v>
      </c>
      <c r="J98" s="19">
        <v>151.75957199999999</v>
      </c>
      <c r="K98" s="10">
        <v>154.517843</v>
      </c>
      <c r="L98" s="19">
        <v>150.877635</v>
      </c>
      <c r="M98" s="19">
        <v>151.26853500000001</v>
      </c>
      <c r="N98" s="19">
        <v>151.069954</v>
      </c>
      <c r="O98" s="19">
        <v>150.52227400000001</v>
      </c>
      <c r="P98" s="10">
        <v>150.849884</v>
      </c>
      <c r="Q98" s="19">
        <v>148.876282</v>
      </c>
      <c r="R98" s="19">
        <v>147.73827700000001</v>
      </c>
      <c r="S98" s="19">
        <v>147.495902</v>
      </c>
      <c r="T98" s="19">
        <v>145.81739099999999</v>
      </c>
      <c r="U98" s="10">
        <v>147.48512299999999</v>
      </c>
      <c r="V98" s="63">
        <v>145.38081399999999</v>
      </c>
      <c r="W98" s="114">
        <f t="shared" ref="W98:Y98" si="117">R98*(1+W99)</f>
        <v>146.999585615</v>
      </c>
      <c r="X98" s="114">
        <f t="shared" si="117"/>
        <v>146.68467453900001</v>
      </c>
      <c r="Y98" s="114">
        <f t="shared" si="117"/>
        <v>144.94248665399999</v>
      </c>
      <c r="Z98" s="104">
        <f>AVERAGE(V98:Y98)</f>
        <v>146.001890202</v>
      </c>
      <c r="AA98" s="104">
        <f>Z98*(1+AA99)</f>
        <v>144.24986751957599</v>
      </c>
      <c r="AB98" s="104">
        <f>AA98*(1+AB99)</f>
        <v>142.80736884438022</v>
      </c>
      <c r="AC98" s="104">
        <f>AB98*(1+AC99)</f>
        <v>141.73631357804737</v>
      </c>
    </row>
    <row r="99" spans="1:30" ht="15" customHeight="1">
      <c r="B99" s="3"/>
      <c r="C99" s="3"/>
      <c r="D99" s="3"/>
      <c r="E99" s="56">
        <f>E98/D98-1</f>
        <v>0.12911815908955182</v>
      </c>
      <c r="F99" s="56">
        <f>F98/E98-1</f>
        <v>0.28279949199415055</v>
      </c>
      <c r="G99" s="51">
        <v>-5.3310025171349196E-3</v>
      </c>
      <c r="H99" s="51">
        <v>-3.9939261811833271E-3</v>
      </c>
      <c r="I99" s="51">
        <v>-1.9939576254271563E-2</v>
      </c>
      <c r="J99" s="51">
        <v>-3.1444359863650795E-2</v>
      </c>
      <c r="K99" s="33">
        <f>K98/F98-1</f>
        <v>-1.3714198074013195E-2</v>
      </c>
      <c r="L99" s="51">
        <f>L98/G98-1</f>
        <v>-3.8107123509191765E-2</v>
      </c>
      <c r="M99" s="51">
        <f t="shared" ref="M99:O99" si="118">M98/H98-1</f>
        <v>-3.1084390977702436E-2</v>
      </c>
      <c r="N99" s="51">
        <f t="shared" si="118"/>
        <v>-1.8332029489166679E-2</v>
      </c>
      <c r="O99" s="51">
        <f t="shared" si="118"/>
        <v>-8.1530145591078851E-3</v>
      </c>
      <c r="P99" s="33">
        <f>P98/K98-1</f>
        <v>-2.3738093470538568E-2</v>
      </c>
      <c r="Q99" s="51">
        <f>Q98/L98-1</f>
        <v>-1.3264742650559103E-2</v>
      </c>
      <c r="R99" s="51">
        <f t="shared" ref="R99:T99" si="119">R98/M98-1</f>
        <v>-2.3337688832644532E-2</v>
      </c>
      <c r="S99" s="51">
        <f t="shared" si="119"/>
        <v>-2.3658258345666816E-2</v>
      </c>
      <c r="T99" s="51">
        <f t="shared" si="119"/>
        <v>-3.125705501898024E-2</v>
      </c>
      <c r="U99" s="33">
        <f>U98/P98-1</f>
        <v>-2.2305360208298319E-2</v>
      </c>
      <c r="V99" s="79">
        <f>V98/Q98-1</f>
        <v>-2.3479011922127535E-2</v>
      </c>
      <c r="W99" s="101">
        <v>-5.0000000000000001E-3</v>
      </c>
      <c r="X99" s="101">
        <v>-5.4999999999999997E-3</v>
      </c>
      <c r="Y99" s="101">
        <v>-6.0000000000000001E-3</v>
      </c>
      <c r="Z99" s="106">
        <f>Z98/U98-1</f>
        <v>-1.0056829921754162E-2</v>
      </c>
      <c r="AA99" s="106">
        <v>-1.2E-2</v>
      </c>
      <c r="AB99" s="106">
        <v>-0.01</v>
      </c>
      <c r="AC99" s="106">
        <v>-7.4999999999999997E-3</v>
      </c>
      <c r="AD99" s="106"/>
    </row>
    <row r="102" spans="1:30" s="53" customFormat="1" ht="15" customHeight="1">
      <c r="A102" s="54" t="s">
        <v>76</v>
      </c>
      <c r="W102" s="112"/>
      <c r="X102" s="112"/>
      <c r="Y102" s="112"/>
      <c r="Z102" s="112"/>
      <c r="AA102" s="112"/>
      <c r="AB102" s="112"/>
      <c r="AC102" s="112"/>
    </row>
    <row r="103" spans="1:30" ht="5" customHeight="1">
      <c r="A103" s="11"/>
    </row>
    <row r="104" spans="1:30" ht="15" customHeight="1">
      <c r="A104" s="1" t="s">
        <v>112</v>
      </c>
      <c r="B104" s="57">
        <v>1522.758057</v>
      </c>
      <c r="C104" s="57">
        <v>1779.1800539999999</v>
      </c>
      <c r="D104" s="57">
        <v>1788.262939</v>
      </c>
      <c r="E104" s="57">
        <v>1931.855957</v>
      </c>
      <c r="F104" s="57">
        <v>2187.8339839999999</v>
      </c>
      <c r="G104" s="63">
        <v>2215.1059570000002</v>
      </c>
      <c r="H104" s="63">
        <v>2319.4799800000001</v>
      </c>
      <c r="I104" s="63">
        <v>2420.548096</v>
      </c>
      <c r="J104" s="63">
        <v>2383.0910640000002</v>
      </c>
      <c r="K104" s="57">
        <v>2383.0910640000002</v>
      </c>
      <c r="L104" s="63">
        <v>2348.7009280000002</v>
      </c>
      <c r="M104" s="63">
        <v>2383.9780270000001</v>
      </c>
      <c r="N104" s="63">
        <v>2358.8659670000002</v>
      </c>
      <c r="O104" s="63">
        <v>2343.8759770000001</v>
      </c>
      <c r="P104" s="57">
        <v>2343.8759770000001</v>
      </c>
      <c r="Q104" s="63">
        <v>2288.7280270000001</v>
      </c>
      <c r="R104" s="63">
        <v>2295.5119629999999</v>
      </c>
      <c r="S104" s="63">
        <v>2340.7280270000001</v>
      </c>
      <c r="T104" s="63">
        <v>2167.7109380000002</v>
      </c>
      <c r="U104" s="57">
        <v>2167.7109380000002</v>
      </c>
      <c r="V104" s="63">
        <v>2173.5740000000001</v>
      </c>
    </row>
    <row r="105" spans="1:30" ht="15" customHeight="1">
      <c r="A105" s="62" t="s">
        <v>111</v>
      </c>
      <c r="B105" s="57">
        <v>250.526993</v>
      </c>
      <c r="C105" s="57">
        <v>248.669006</v>
      </c>
      <c r="D105" s="57">
        <v>290.58999599999999</v>
      </c>
      <c r="E105" s="57">
        <v>424.69500699999998</v>
      </c>
      <c r="F105" s="57">
        <v>532.39801</v>
      </c>
      <c r="G105" s="63">
        <v>437.01901199999998</v>
      </c>
      <c r="H105" s="63">
        <v>520.85101299999997</v>
      </c>
      <c r="I105" s="63">
        <v>606.5</v>
      </c>
      <c r="J105" s="63">
        <v>530.59399399999995</v>
      </c>
      <c r="K105" s="57">
        <v>530.59399399999995</v>
      </c>
      <c r="L105" s="63">
        <v>513.51000999999997</v>
      </c>
      <c r="M105" s="63">
        <v>568.59802200000001</v>
      </c>
      <c r="N105" s="63">
        <v>569.646973</v>
      </c>
      <c r="O105" s="63">
        <v>561.29199200000005</v>
      </c>
      <c r="P105" s="57">
        <v>561.29199200000005</v>
      </c>
      <c r="Q105" s="63">
        <v>593.37799099999995</v>
      </c>
      <c r="R105" s="63">
        <v>612.03100600000005</v>
      </c>
      <c r="S105" s="63">
        <v>656.692993</v>
      </c>
      <c r="T105" s="63">
        <v>471.37701399999997</v>
      </c>
      <c r="U105" s="57">
        <v>471.37701399999997</v>
      </c>
      <c r="V105" s="63">
        <v>478.15499999999997</v>
      </c>
    </row>
    <row r="106" spans="1:30" ht="15" customHeight="1">
      <c r="A106" s="61" t="s">
        <v>110</v>
      </c>
      <c r="B106" s="57">
        <v>101.920998</v>
      </c>
      <c r="C106" s="57">
        <v>82.282996999999995</v>
      </c>
      <c r="D106" s="57">
        <v>105.94699900000001</v>
      </c>
      <c r="E106" s="57">
        <v>215.01199299999999</v>
      </c>
      <c r="F106" s="57">
        <v>250.53599500000001</v>
      </c>
      <c r="G106" s="63">
        <v>66.055999999999997</v>
      </c>
      <c r="H106" s="63">
        <v>25.812000000000001</v>
      </c>
      <c r="I106" s="63">
        <v>159.621002</v>
      </c>
      <c r="J106" s="63">
        <v>120.817001</v>
      </c>
      <c r="K106" s="57">
        <v>120.817001</v>
      </c>
      <c r="L106" s="63">
        <v>86.864998</v>
      </c>
      <c r="M106" s="63">
        <v>126.25900300000001</v>
      </c>
      <c r="N106" s="63">
        <v>244.59700000000001</v>
      </c>
      <c r="O106" s="63">
        <v>278.31399499999998</v>
      </c>
      <c r="P106" s="57">
        <v>278.31399499999998</v>
      </c>
      <c r="Q106" s="63">
        <v>274.75900300000001</v>
      </c>
      <c r="R106" s="63">
        <v>227.399002</v>
      </c>
      <c r="S106" s="63">
        <v>346.94799799999998</v>
      </c>
      <c r="T106" s="63">
        <v>164.02499399999999</v>
      </c>
      <c r="U106" s="57">
        <v>164.02499399999999</v>
      </c>
      <c r="V106" s="63">
        <v>148.13399999999999</v>
      </c>
    </row>
    <row r="107" spans="1:30" ht="15" customHeight="1">
      <c r="A107" s="61" t="s">
        <v>109</v>
      </c>
      <c r="B107" s="57">
        <v>41.445</v>
      </c>
      <c r="C107" s="57">
        <v>43.992001000000002</v>
      </c>
      <c r="D107" s="57">
        <v>52.623001000000002</v>
      </c>
      <c r="E107" s="57">
        <v>70.886002000000005</v>
      </c>
      <c r="F107" s="57">
        <v>77.316001999999997</v>
      </c>
      <c r="G107" s="63">
        <v>63.056998999999998</v>
      </c>
      <c r="H107" s="63">
        <v>171.68499800000001</v>
      </c>
      <c r="I107" s="63">
        <v>101.51300000000001</v>
      </c>
      <c r="J107" s="63">
        <v>90.158996999999999</v>
      </c>
      <c r="K107" s="57">
        <v>90.158996999999999</v>
      </c>
      <c r="L107" s="63">
        <v>68.290001000000004</v>
      </c>
      <c r="M107" s="63">
        <v>152.74499499999999</v>
      </c>
      <c r="N107" s="63">
        <v>72.917998999999995</v>
      </c>
      <c r="O107" s="63">
        <v>57.66</v>
      </c>
      <c r="P107" s="57">
        <v>57.66</v>
      </c>
      <c r="Q107" s="63">
        <v>32.397998999999999</v>
      </c>
      <c r="R107" s="63">
        <v>134.378006</v>
      </c>
      <c r="S107" s="63">
        <v>67.619003000000006</v>
      </c>
      <c r="T107" s="63">
        <v>49.922001000000002</v>
      </c>
      <c r="U107" s="57">
        <v>49.922001000000002</v>
      </c>
      <c r="V107" s="63">
        <v>33.68</v>
      </c>
    </row>
    <row r="108" spans="1:30" ht="15" customHeight="1">
      <c r="A108" s="61" t="s">
        <v>108</v>
      </c>
      <c r="B108" s="57">
        <v>98.861000000000004</v>
      </c>
      <c r="C108" s="57">
        <v>110.899002</v>
      </c>
      <c r="D108" s="57">
        <v>115.39099899999999</v>
      </c>
      <c r="E108" s="57">
        <v>130.070007</v>
      </c>
      <c r="F108" s="57">
        <v>188.88800000000001</v>
      </c>
      <c r="G108" s="63">
        <v>289.05898999999999</v>
      </c>
      <c r="H108" s="63">
        <v>299.16000400000001</v>
      </c>
      <c r="I108" s="63">
        <v>322.11700400000001</v>
      </c>
      <c r="J108" s="63">
        <v>299.90499899999998</v>
      </c>
      <c r="K108" s="57">
        <v>299.90499899999998</v>
      </c>
      <c r="L108" s="63">
        <v>320.88299599999999</v>
      </c>
      <c r="M108" s="63">
        <v>251.02499399999999</v>
      </c>
      <c r="N108" s="63">
        <v>221.28100599999999</v>
      </c>
      <c r="O108" s="63">
        <v>195.60000600000001</v>
      </c>
      <c r="P108" s="57">
        <v>195.60000600000001</v>
      </c>
      <c r="Q108" s="63">
        <v>261.56201199999998</v>
      </c>
      <c r="R108" s="63">
        <v>213.705994</v>
      </c>
      <c r="S108" s="63">
        <v>204.871002</v>
      </c>
      <c r="T108" s="63">
        <v>223.682007</v>
      </c>
      <c r="U108" s="57">
        <v>223.682007</v>
      </c>
      <c r="V108" s="63">
        <v>256.755</v>
      </c>
    </row>
    <row r="109" spans="1:30" ht="15" customHeight="1">
      <c r="A109" s="60" t="s">
        <v>107</v>
      </c>
      <c r="B109" s="57">
        <v>8.3000000000000007</v>
      </c>
      <c r="C109" s="59">
        <v>11.494999999999999</v>
      </c>
      <c r="D109" s="59">
        <v>16.629000000000001</v>
      </c>
      <c r="E109" s="59">
        <v>8.7269989999999993</v>
      </c>
      <c r="F109" s="59">
        <v>15.657999999999999</v>
      </c>
      <c r="G109" s="63">
        <v>18.847000000000001</v>
      </c>
      <c r="H109" s="63">
        <v>24.193999999999999</v>
      </c>
      <c r="I109" s="63">
        <v>23.248999000000001</v>
      </c>
      <c r="J109" s="63">
        <v>19.712999</v>
      </c>
      <c r="K109" s="59">
        <v>19.712999</v>
      </c>
      <c r="L109" s="63">
        <v>37.472000000000001</v>
      </c>
      <c r="M109" s="63">
        <v>38.569000000000003</v>
      </c>
      <c r="N109" s="63">
        <v>30.851002000000001</v>
      </c>
      <c r="O109" s="63">
        <v>29.717998999999999</v>
      </c>
      <c r="P109" s="59">
        <v>29.717998999999999</v>
      </c>
      <c r="Q109" s="63">
        <v>24.658999999999999</v>
      </c>
      <c r="R109" s="63">
        <v>36.548000000000002</v>
      </c>
      <c r="S109" s="63">
        <v>37.254997000000003</v>
      </c>
      <c r="T109" s="63">
        <v>33.748001000000002</v>
      </c>
      <c r="U109" s="59">
        <v>33.748001000000002</v>
      </c>
      <c r="V109" s="63">
        <v>39.585999999999999</v>
      </c>
    </row>
    <row r="110" spans="1:30" ht="15" customHeight="1">
      <c r="A110" s="58" t="s">
        <v>106</v>
      </c>
      <c r="B110" s="1"/>
      <c r="C110" s="57">
        <v>5.2060000000000004</v>
      </c>
      <c r="D110" s="57">
        <v>6.0369999999999999</v>
      </c>
      <c r="E110" s="57">
        <v>8.3670000000000009</v>
      </c>
      <c r="F110" s="57">
        <v>14.212</v>
      </c>
      <c r="G110" s="63">
        <v>17.641000999999999</v>
      </c>
      <c r="H110" s="63">
        <v>18.202998999999998</v>
      </c>
      <c r="I110" s="63">
        <v>20.521999000000001</v>
      </c>
      <c r="J110" s="63">
        <v>17.212</v>
      </c>
      <c r="K110" s="57">
        <v>17.212</v>
      </c>
      <c r="L110" s="63">
        <v>22.525998999999999</v>
      </c>
      <c r="M110" s="63">
        <v>16.747</v>
      </c>
      <c r="N110" s="63">
        <v>13.667999999999999</v>
      </c>
      <c r="O110" s="63">
        <v>13.595000000000001</v>
      </c>
      <c r="P110" s="57">
        <v>13.595000000000001</v>
      </c>
      <c r="Q110" s="63">
        <v>16.527999999999999</v>
      </c>
      <c r="R110" s="63">
        <v>12.986000000000001</v>
      </c>
      <c r="S110" s="63">
        <v>9.7360000000000007</v>
      </c>
      <c r="T110" s="63">
        <v>9.8759999999999994</v>
      </c>
      <c r="U110" s="57">
        <v>9.8759999999999994</v>
      </c>
      <c r="V110" s="63">
        <v>17.021000000000001</v>
      </c>
    </row>
    <row r="111" spans="1:30" ht="15" customHeight="1">
      <c r="A111" s="58" t="s">
        <v>105</v>
      </c>
      <c r="B111" s="1"/>
      <c r="C111" s="57">
        <v>6.2889999999999997</v>
      </c>
      <c r="D111" s="57">
        <v>10.592000000000001</v>
      </c>
      <c r="E111" s="57">
        <v>0.36</v>
      </c>
      <c r="F111" s="57">
        <v>1.446</v>
      </c>
      <c r="G111" s="63">
        <v>1.206</v>
      </c>
      <c r="H111" s="63">
        <v>5.9909999999999997</v>
      </c>
      <c r="I111" s="63">
        <v>2.7269999999999999</v>
      </c>
      <c r="J111" s="63">
        <v>2.5009999999999999</v>
      </c>
      <c r="K111" s="57">
        <v>2.5009999999999999</v>
      </c>
      <c r="L111" s="63">
        <v>14.946</v>
      </c>
      <c r="M111" s="63">
        <v>21.822001</v>
      </c>
      <c r="N111" s="63">
        <v>17.183001000000001</v>
      </c>
      <c r="O111" s="63">
        <v>16.122999</v>
      </c>
      <c r="P111" s="57">
        <v>16.122999</v>
      </c>
      <c r="Q111" s="63">
        <v>8.1310000000000002</v>
      </c>
      <c r="R111" s="63">
        <v>23.562000000000001</v>
      </c>
      <c r="S111" s="63">
        <v>27.518999000000001</v>
      </c>
      <c r="T111" s="63">
        <v>23.872</v>
      </c>
      <c r="U111" s="57">
        <v>23.872</v>
      </c>
      <c r="V111" s="63">
        <v>22.565000000000001</v>
      </c>
    </row>
    <row r="112" spans="1:30" ht="15" customHeight="1">
      <c r="A112" s="2" t="s">
        <v>104</v>
      </c>
      <c r="B112" s="57">
        <v>134.574005</v>
      </c>
      <c r="C112" s="57">
        <v>180.820999</v>
      </c>
      <c r="D112" s="57">
        <v>208.69399999999999</v>
      </c>
      <c r="E112" s="57">
        <v>261.77398699999998</v>
      </c>
      <c r="F112" s="57">
        <v>391.01199300000002</v>
      </c>
      <c r="G112" s="63">
        <v>435.30398600000001</v>
      </c>
      <c r="H112" s="63">
        <v>474.33999599999999</v>
      </c>
      <c r="I112" s="63">
        <v>495.96099900000002</v>
      </c>
      <c r="J112" s="63">
        <v>517.91302499999995</v>
      </c>
      <c r="K112" s="57">
        <v>517.91302499999995</v>
      </c>
      <c r="L112" s="63">
        <v>513.13000499999998</v>
      </c>
      <c r="M112" s="63">
        <v>507.19799799999998</v>
      </c>
      <c r="N112" s="63">
        <v>494.89498900000001</v>
      </c>
      <c r="O112" s="63">
        <v>501.02301</v>
      </c>
      <c r="P112" s="57">
        <v>501.02301</v>
      </c>
      <c r="Q112" s="63">
        <v>456.50399800000002</v>
      </c>
      <c r="R112" s="63">
        <v>456.699005</v>
      </c>
      <c r="S112" s="63">
        <v>459.368988</v>
      </c>
      <c r="T112" s="63">
        <v>462.20098899999999</v>
      </c>
      <c r="U112" s="57">
        <v>462.20098899999999</v>
      </c>
      <c r="V112" s="63">
        <v>459.66</v>
      </c>
    </row>
    <row r="113" spans="1:22" ht="15" customHeight="1">
      <c r="A113" s="2" t="s">
        <v>103</v>
      </c>
      <c r="B113" s="57">
        <v>830.00799600000005</v>
      </c>
      <c r="C113" s="57">
        <v>944.29797399999995</v>
      </c>
      <c r="D113" s="57">
        <v>944.29797399999995</v>
      </c>
      <c r="E113" s="57">
        <v>951.39001499999995</v>
      </c>
      <c r="F113" s="57">
        <v>951.39001499999995</v>
      </c>
      <c r="G113" s="63">
        <v>992.51300000000003</v>
      </c>
      <c r="H113" s="63">
        <v>987.44000200000005</v>
      </c>
      <c r="I113" s="63">
        <v>987.44000200000005</v>
      </c>
      <c r="J113" s="63">
        <v>993.99499500000002</v>
      </c>
      <c r="K113" s="57">
        <v>993.99499500000002</v>
      </c>
      <c r="L113" s="63">
        <v>993.99499500000002</v>
      </c>
      <c r="M113" s="63">
        <v>994.15502900000001</v>
      </c>
      <c r="N113" s="63">
        <v>994.15502900000001</v>
      </c>
      <c r="O113" s="63">
        <v>994.27099599999997</v>
      </c>
      <c r="P113" s="57">
        <v>994.27099599999997</v>
      </c>
      <c r="Q113" s="63">
        <v>967.81597899999997</v>
      </c>
      <c r="R113" s="63">
        <v>967.81597899999997</v>
      </c>
      <c r="S113" s="63">
        <v>967.81597899999997</v>
      </c>
      <c r="T113" s="63">
        <v>967.81597899999997</v>
      </c>
      <c r="U113" s="57">
        <v>967.81597899999997</v>
      </c>
      <c r="V113" s="63">
        <v>973.95</v>
      </c>
    </row>
    <row r="114" spans="1:22" ht="15" customHeight="1">
      <c r="A114" s="2" t="s">
        <v>102</v>
      </c>
      <c r="B114" s="57">
        <v>304.03298999999998</v>
      </c>
      <c r="C114" s="57">
        <v>402.62200899999999</v>
      </c>
      <c r="D114" s="57">
        <v>342.41799900000001</v>
      </c>
      <c r="E114" s="57">
        <v>292.37399299999998</v>
      </c>
      <c r="F114" s="57">
        <v>242.57200599999999</v>
      </c>
      <c r="G114" s="63">
        <v>272.69198599999999</v>
      </c>
      <c r="H114" s="63">
        <v>260.12799100000001</v>
      </c>
      <c r="I114" s="63">
        <v>247.60600299999999</v>
      </c>
      <c r="J114" s="63">
        <v>245.83500699999999</v>
      </c>
      <c r="K114" s="57">
        <v>245.83500699999999</v>
      </c>
      <c r="L114" s="63">
        <v>233.99800099999999</v>
      </c>
      <c r="M114" s="63">
        <v>222.378006</v>
      </c>
      <c r="N114" s="63">
        <v>210.800003</v>
      </c>
      <c r="O114" s="63">
        <v>199.496994</v>
      </c>
      <c r="P114" s="57">
        <v>199.496994</v>
      </c>
      <c r="Q114" s="63">
        <v>183.604004</v>
      </c>
      <c r="R114" s="63">
        <v>173.73199500000001</v>
      </c>
      <c r="S114" s="63">
        <v>164.08299299999999</v>
      </c>
      <c r="T114" s="63">
        <v>154.51800499999999</v>
      </c>
      <c r="U114" s="57">
        <v>154.51800499999999</v>
      </c>
      <c r="V114" s="63">
        <v>146.29499999999999</v>
      </c>
    </row>
    <row r="115" spans="1:22" ht="15" customHeight="1">
      <c r="A115" s="62" t="s">
        <v>101</v>
      </c>
      <c r="B115" s="59">
        <v>3.6160000000000001</v>
      </c>
      <c r="C115" s="59">
        <v>2.77</v>
      </c>
      <c r="D115" s="57">
        <v>2.2629999999999999</v>
      </c>
      <c r="E115" s="57">
        <v>1.623</v>
      </c>
      <c r="F115" s="57">
        <v>70.461997999999994</v>
      </c>
      <c r="G115" s="63">
        <v>77.578002999999995</v>
      </c>
      <c r="H115" s="63">
        <v>76.721001000000001</v>
      </c>
      <c r="I115" s="63">
        <v>83.040999999999997</v>
      </c>
      <c r="J115" s="63">
        <v>94.753997999999996</v>
      </c>
      <c r="K115" s="57">
        <v>94.753997999999996</v>
      </c>
      <c r="L115" s="63">
        <v>94.068000999999995</v>
      </c>
      <c r="M115" s="63">
        <v>91.649001999999996</v>
      </c>
      <c r="N115" s="63">
        <v>89.369003000000006</v>
      </c>
      <c r="O115" s="63">
        <v>87.792998999999995</v>
      </c>
      <c r="P115" s="57">
        <v>87.792998999999995</v>
      </c>
      <c r="Q115" s="63">
        <v>87.426002999999994</v>
      </c>
      <c r="R115" s="63">
        <v>85.234001000000006</v>
      </c>
      <c r="S115" s="63">
        <v>92.766998000000001</v>
      </c>
      <c r="T115" s="63">
        <v>111.799004</v>
      </c>
      <c r="U115" s="57">
        <v>111.799004</v>
      </c>
      <c r="V115" s="63">
        <v>115.514</v>
      </c>
    </row>
    <row r="116" spans="1:22" ht="15" customHeight="1">
      <c r="A116" s="61" t="s">
        <v>100</v>
      </c>
      <c r="B116" s="57">
        <v>1.58</v>
      </c>
      <c r="C116" s="57">
        <v>1.222</v>
      </c>
      <c r="D116" s="1"/>
      <c r="E116" s="1"/>
      <c r="F116" s="1"/>
      <c r="G116" s="63"/>
      <c r="H116" s="63"/>
      <c r="I116" s="63"/>
      <c r="J116" s="63"/>
      <c r="K116" s="1"/>
      <c r="L116" s="63"/>
      <c r="M116" s="63"/>
      <c r="N116" s="63"/>
      <c r="O116" s="63"/>
      <c r="P116" s="1"/>
      <c r="Q116" s="63"/>
      <c r="R116" s="63"/>
      <c r="S116" s="63"/>
      <c r="T116" s="63"/>
      <c r="U116" s="1"/>
      <c r="V116" s="63"/>
    </row>
    <row r="117" spans="1:22" ht="15" customHeight="1">
      <c r="A117" s="61" t="s">
        <v>99</v>
      </c>
      <c r="B117" s="57">
        <v>2.036</v>
      </c>
      <c r="C117" s="57">
        <v>1.548</v>
      </c>
      <c r="D117" s="1"/>
      <c r="E117" s="1"/>
      <c r="F117" s="1"/>
      <c r="G117" s="63"/>
      <c r="H117" s="63"/>
      <c r="I117" s="63"/>
      <c r="J117" s="63"/>
      <c r="K117" s="1"/>
      <c r="L117" s="63"/>
      <c r="M117" s="63"/>
      <c r="N117" s="63"/>
      <c r="O117" s="63"/>
      <c r="P117" s="1"/>
      <c r="Q117" s="63"/>
      <c r="R117" s="63"/>
      <c r="S117" s="63"/>
      <c r="T117" s="63"/>
      <c r="U117" s="1"/>
      <c r="V117" s="63"/>
    </row>
    <row r="118" spans="1:22" ht="15" customHeight="1">
      <c r="A118" s="1" t="s">
        <v>98</v>
      </c>
      <c r="B118" s="57">
        <v>1522.758057</v>
      </c>
      <c r="C118" s="57">
        <v>1779.1800539999999</v>
      </c>
      <c r="D118" s="57">
        <v>1788.262939</v>
      </c>
      <c r="E118" s="57">
        <v>1931.855957</v>
      </c>
      <c r="F118" s="57">
        <v>2187.8339839999999</v>
      </c>
      <c r="G118" s="63">
        <v>2215.1059570000002</v>
      </c>
      <c r="H118" s="63">
        <v>2319.4799800000001</v>
      </c>
      <c r="I118" s="63">
        <v>2420.548096</v>
      </c>
      <c r="J118" s="63">
        <v>2383.0910640000002</v>
      </c>
      <c r="K118" s="57">
        <v>2383.0910640000002</v>
      </c>
      <c r="L118" s="63">
        <v>2348.7009280000002</v>
      </c>
      <c r="M118" s="63">
        <v>2383.9780270000001</v>
      </c>
      <c r="N118" s="63">
        <v>2358.8659670000002</v>
      </c>
      <c r="O118" s="63">
        <v>2343.8759770000001</v>
      </c>
      <c r="P118" s="57">
        <v>2343.8759770000001</v>
      </c>
      <c r="Q118" s="63">
        <v>2288.7280270000001</v>
      </c>
      <c r="R118" s="63">
        <v>2295.5119629999999</v>
      </c>
      <c r="S118" s="63">
        <v>2340.7280270000001</v>
      </c>
      <c r="T118" s="63">
        <v>2167.7109380000002</v>
      </c>
      <c r="U118" s="57">
        <v>2167.7109380000002</v>
      </c>
      <c r="V118" s="63">
        <v>2173.5740000000001</v>
      </c>
    </row>
    <row r="119" spans="1:22" ht="15" customHeight="1">
      <c r="A119" s="62" t="s">
        <v>97</v>
      </c>
      <c r="B119" s="57">
        <v>1066.38501</v>
      </c>
      <c r="C119" s="57">
        <v>1273.626953</v>
      </c>
      <c r="D119" s="57">
        <v>1298.23999</v>
      </c>
      <c r="E119" s="57">
        <v>627.96801800000003</v>
      </c>
      <c r="F119" s="57">
        <v>760.669983</v>
      </c>
      <c r="G119" s="63">
        <v>763.955017</v>
      </c>
      <c r="H119" s="63">
        <v>826.44598399999995</v>
      </c>
      <c r="I119" s="63">
        <v>952.57800299999997</v>
      </c>
      <c r="J119" s="63">
        <v>938.64801</v>
      </c>
      <c r="K119" s="57">
        <v>938.64801</v>
      </c>
      <c r="L119" s="63">
        <v>935.92901600000005</v>
      </c>
      <c r="M119" s="63">
        <v>948.90502900000001</v>
      </c>
      <c r="N119" s="63">
        <v>921.05102499999998</v>
      </c>
      <c r="O119" s="63">
        <v>933.56298800000002</v>
      </c>
      <c r="P119" s="57">
        <v>933.56298800000002</v>
      </c>
      <c r="Q119" s="63">
        <v>929.42297399999995</v>
      </c>
      <c r="R119" s="63">
        <v>908.58099400000003</v>
      </c>
      <c r="S119" s="63">
        <v>947.716003</v>
      </c>
      <c r="T119" s="63">
        <v>810.84600799999998</v>
      </c>
      <c r="U119" s="57">
        <v>810.84600799999998</v>
      </c>
      <c r="V119" s="63">
        <v>785.93299999999999</v>
      </c>
    </row>
    <row r="120" spans="1:22" ht="15" customHeight="1">
      <c r="A120" s="60" t="s">
        <v>96</v>
      </c>
      <c r="B120" s="57">
        <v>101.807999</v>
      </c>
      <c r="C120" s="57">
        <v>109.799004</v>
      </c>
      <c r="D120" s="57">
        <v>139.996994</v>
      </c>
      <c r="E120" s="57">
        <v>124.040001</v>
      </c>
      <c r="F120" s="57">
        <v>170.40699799999999</v>
      </c>
      <c r="G120" s="63">
        <v>162.537994</v>
      </c>
      <c r="H120" s="63">
        <v>173.58299299999999</v>
      </c>
      <c r="I120" s="63">
        <v>205.05200199999999</v>
      </c>
      <c r="J120" s="63">
        <v>182.49099699999999</v>
      </c>
      <c r="K120" s="57">
        <v>182.49099699999999</v>
      </c>
      <c r="L120" s="63">
        <v>176.746994</v>
      </c>
      <c r="M120" s="63">
        <v>192.50500500000001</v>
      </c>
      <c r="N120" s="63">
        <v>167.091995</v>
      </c>
      <c r="O120" s="63">
        <v>189.716003</v>
      </c>
      <c r="P120" s="57">
        <v>189.716003</v>
      </c>
      <c r="Q120" s="63">
        <v>198.41099500000001</v>
      </c>
      <c r="R120" s="63">
        <v>179.97500600000001</v>
      </c>
      <c r="S120" s="63">
        <v>214.046997</v>
      </c>
      <c r="T120" s="63">
        <v>217.037994</v>
      </c>
      <c r="U120" s="57">
        <v>217.037994</v>
      </c>
      <c r="V120" s="63">
        <v>186.48400000000001</v>
      </c>
    </row>
    <row r="121" spans="1:22" ht="15" customHeight="1">
      <c r="A121" s="58" t="s">
        <v>95</v>
      </c>
      <c r="B121" s="57">
        <v>25.849001000000001</v>
      </c>
      <c r="C121" s="57">
        <v>35.876998999999998</v>
      </c>
      <c r="D121" s="57">
        <v>47.478999999999999</v>
      </c>
      <c r="E121" s="57">
        <v>42.058998000000003</v>
      </c>
      <c r="F121" s="57">
        <v>69.473999000000006</v>
      </c>
      <c r="G121" s="63">
        <v>64.489998</v>
      </c>
      <c r="H121" s="63">
        <v>76.227997000000002</v>
      </c>
      <c r="I121" s="63">
        <v>83.033996999999999</v>
      </c>
      <c r="J121" s="63">
        <v>48.987000000000002</v>
      </c>
      <c r="K121" s="57">
        <v>48.987000000000002</v>
      </c>
      <c r="L121" s="63">
        <v>48.563000000000002</v>
      </c>
      <c r="M121" s="63">
        <v>51.921000999999997</v>
      </c>
      <c r="N121" s="63">
        <v>53.009998000000003</v>
      </c>
      <c r="O121" s="63">
        <v>56.014999000000003</v>
      </c>
      <c r="P121" s="57">
        <v>56.014999000000003</v>
      </c>
      <c r="Q121" s="63">
        <v>43.118999000000002</v>
      </c>
      <c r="R121" s="63">
        <v>52.727001000000001</v>
      </c>
      <c r="S121" s="63">
        <v>64.130996999999994</v>
      </c>
      <c r="T121" s="63">
        <v>57.908999999999999</v>
      </c>
      <c r="U121" s="57">
        <v>57.908999999999999</v>
      </c>
      <c r="V121" s="63">
        <v>47.725000000000001</v>
      </c>
    </row>
    <row r="122" spans="1:22" ht="15" customHeight="1">
      <c r="A122" s="58" t="s">
        <v>94</v>
      </c>
      <c r="B122" s="57">
        <v>15.836</v>
      </c>
      <c r="C122" s="57">
        <v>19.756001000000001</v>
      </c>
      <c r="D122" s="57">
        <v>22.733000000000001</v>
      </c>
      <c r="E122" s="57">
        <v>30.361999999999998</v>
      </c>
      <c r="F122" s="57">
        <v>44.339001000000003</v>
      </c>
      <c r="G122" s="63">
        <v>49.150002000000001</v>
      </c>
      <c r="H122" s="63">
        <v>31.722999999999999</v>
      </c>
      <c r="I122" s="63">
        <v>44.491000999999997</v>
      </c>
      <c r="J122" s="63">
        <v>50.478999999999999</v>
      </c>
      <c r="K122" s="57">
        <v>50.478999999999999</v>
      </c>
      <c r="L122" s="63">
        <v>54.555999999999997</v>
      </c>
      <c r="M122" s="63">
        <v>65.073997000000006</v>
      </c>
      <c r="N122" s="63">
        <v>49.370998</v>
      </c>
      <c r="O122" s="63">
        <v>60.973998999999999</v>
      </c>
      <c r="P122" s="57">
        <v>60.973998999999999</v>
      </c>
      <c r="Q122" s="63">
        <v>67.925003000000004</v>
      </c>
      <c r="R122" s="63">
        <v>46.390999000000001</v>
      </c>
      <c r="S122" s="63">
        <v>59.202998999999998</v>
      </c>
      <c r="T122" s="63">
        <v>68.210999000000001</v>
      </c>
      <c r="U122" s="57">
        <v>68.210999000000001</v>
      </c>
      <c r="V122" s="63">
        <v>72.591999999999999</v>
      </c>
    </row>
    <row r="123" spans="1:22" ht="15" customHeight="1">
      <c r="A123" s="58" t="s">
        <v>93</v>
      </c>
      <c r="B123" s="57">
        <v>12.813000000000001</v>
      </c>
      <c r="C123" s="57">
        <v>13.166</v>
      </c>
      <c r="D123" s="57">
        <v>13.577999999999999</v>
      </c>
      <c r="E123" s="57">
        <v>1.103</v>
      </c>
      <c r="F123" s="57">
        <v>7.1999999999999995E-2</v>
      </c>
      <c r="G123" s="63">
        <v>0.214</v>
      </c>
      <c r="H123" s="63">
        <v>4.5999999999999999E-2</v>
      </c>
      <c r="I123" s="63">
        <v>4.367</v>
      </c>
      <c r="J123" s="63">
        <v>4.4359999999999999</v>
      </c>
      <c r="K123" s="57">
        <v>4.4359999999999999</v>
      </c>
      <c r="L123" s="63">
        <v>0.14000000000000001</v>
      </c>
      <c r="M123" s="63">
        <v>5.8000000000000003E-2</v>
      </c>
      <c r="N123" s="63">
        <v>0.13</v>
      </c>
      <c r="O123" s="63"/>
      <c r="P123" s="1"/>
      <c r="Q123" s="63">
        <v>0.36799999999999999</v>
      </c>
      <c r="R123" s="63"/>
      <c r="S123" s="63"/>
      <c r="T123" s="63"/>
      <c r="U123" s="1"/>
      <c r="V123" s="63"/>
    </row>
    <row r="124" spans="1:22" ht="15" customHeight="1">
      <c r="A124" s="58" t="s">
        <v>92</v>
      </c>
      <c r="B124" s="57">
        <v>8.2609999999999992</v>
      </c>
      <c r="C124" s="57">
        <v>8.3040000000000003</v>
      </c>
      <c r="D124" s="57">
        <v>8.3040000000000003</v>
      </c>
      <c r="E124" s="1"/>
      <c r="F124" s="57">
        <v>0</v>
      </c>
      <c r="G124" s="63"/>
      <c r="H124" s="63"/>
      <c r="I124" s="63">
        <v>4.5</v>
      </c>
      <c r="J124" s="63">
        <v>6</v>
      </c>
      <c r="K124" s="57">
        <v>6</v>
      </c>
      <c r="L124" s="63">
        <v>6</v>
      </c>
      <c r="M124" s="63">
        <v>6</v>
      </c>
      <c r="N124" s="63">
        <v>6</v>
      </c>
      <c r="O124" s="63">
        <v>6</v>
      </c>
      <c r="P124" s="57">
        <v>6</v>
      </c>
      <c r="Q124" s="63">
        <v>6</v>
      </c>
      <c r="R124" s="63">
        <v>6</v>
      </c>
      <c r="S124" s="63">
        <v>6</v>
      </c>
      <c r="T124" s="63">
        <v>3.3</v>
      </c>
      <c r="U124" s="57">
        <v>3.3</v>
      </c>
      <c r="V124" s="63">
        <v>3.3</v>
      </c>
    </row>
    <row r="125" spans="1:22" ht="15" customHeight="1">
      <c r="A125" s="58" t="s">
        <v>91</v>
      </c>
      <c r="B125" s="57">
        <v>39.048999999999999</v>
      </c>
      <c r="C125" s="57">
        <v>32.695999</v>
      </c>
      <c r="D125" s="57">
        <v>47.902999999999999</v>
      </c>
      <c r="E125" s="57">
        <v>50.515999000000001</v>
      </c>
      <c r="F125" s="57">
        <v>56.521999000000001</v>
      </c>
      <c r="G125" s="63">
        <v>48.683998000000003</v>
      </c>
      <c r="H125" s="63">
        <v>65.585999000000001</v>
      </c>
      <c r="I125" s="63">
        <v>68.660004000000001</v>
      </c>
      <c r="J125" s="63">
        <v>72.588997000000006</v>
      </c>
      <c r="K125" s="57">
        <v>72.588997000000006</v>
      </c>
      <c r="L125" s="63">
        <v>67.487999000000002</v>
      </c>
      <c r="M125" s="63">
        <v>69.452003000000005</v>
      </c>
      <c r="N125" s="63">
        <v>58.581001000000001</v>
      </c>
      <c r="O125" s="63">
        <v>66.726996999999997</v>
      </c>
      <c r="P125" s="57">
        <v>66.726996999999997</v>
      </c>
      <c r="Q125" s="63">
        <v>80.999001000000007</v>
      </c>
      <c r="R125" s="63">
        <v>74.857001999999994</v>
      </c>
      <c r="S125" s="63">
        <v>84.712997000000001</v>
      </c>
      <c r="T125" s="63">
        <v>87.617996000000005</v>
      </c>
      <c r="U125" s="57">
        <v>87.617996000000005</v>
      </c>
      <c r="V125" s="63">
        <v>62.866999999999997</v>
      </c>
    </row>
    <row r="126" spans="1:22" ht="15" customHeight="1">
      <c r="A126" s="61" t="s">
        <v>90</v>
      </c>
      <c r="B126" s="57">
        <v>63.748001000000002</v>
      </c>
      <c r="C126" s="57">
        <v>39.473998999999999</v>
      </c>
      <c r="D126" s="57">
        <v>34.002997999999998</v>
      </c>
      <c r="E126" s="57">
        <v>21.26</v>
      </c>
      <c r="F126" s="57">
        <v>46.370998</v>
      </c>
      <c r="G126" s="63">
        <v>50.752997999999998</v>
      </c>
      <c r="H126" s="63">
        <v>61.505001</v>
      </c>
      <c r="I126" s="63">
        <v>67.891998000000001</v>
      </c>
      <c r="J126" s="63">
        <v>65.194999999999993</v>
      </c>
      <c r="K126" s="57">
        <v>65.194999999999993</v>
      </c>
      <c r="L126" s="63">
        <v>66.052002000000002</v>
      </c>
      <c r="M126" s="63">
        <v>64.422996999999995</v>
      </c>
      <c r="N126" s="63">
        <v>67.055999999999997</v>
      </c>
      <c r="O126" s="63">
        <v>59.508999000000003</v>
      </c>
      <c r="P126" s="57">
        <v>59.508999000000003</v>
      </c>
      <c r="Q126" s="63">
        <v>47.117001000000002</v>
      </c>
      <c r="R126" s="63">
        <v>49.408000999999999</v>
      </c>
      <c r="S126" s="63">
        <v>46.918998999999999</v>
      </c>
      <c r="T126" s="63">
        <v>42.341999000000001</v>
      </c>
      <c r="U126" s="57">
        <v>42.341999000000001</v>
      </c>
      <c r="V126" s="63">
        <v>42.518000000000001</v>
      </c>
    </row>
    <row r="127" spans="1:22" ht="15" customHeight="1">
      <c r="A127" s="61" t="s">
        <v>89</v>
      </c>
      <c r="B127" s="57">
        <v>892.95800799999995</v>
      </c>
      <c r="C127" s="57">
        <v>1107.989014</v>
      </c>
      <c r="D127" s="57">
        <v>1103.3129879999999</v>
      </c>
      <c r="E127" s="57">
        <v>462.98199499999998</v>
      </c>
      <c r="F127" s="57">
        <v>464.71499599999999</v>
      </c>
      <c r="G127" s="63">
        <v>464.99899299999998</v>
      </c>
      <c r="H127" s="63">
        <v>505.283997</v>
      </c>
      <c r="I127" s="63">
        <v>586.03301999999996</v>
      </c>
      <c r="J127" s="63">
        <v>584.87902799999995</v>
      </c>
      <c r="K127" s="57">
        <v>584.87902799999995</v>
      </c>
      <c r="L127" s="63">
        <v>583.72601299999997</v>
      </c>
      <c r="M127" s="63">
        <v>582.57202099999995</v>
      </c>
      <c r="N127" s="63">
        <v>581.41803000000004</v>
      </c>
      <c r="O127" s="63">
        <v>580.26501499999995</v>
      </c>
      <c r="P127" s="57">
        <v>580.26501499999995</v>
      </c>
      <c r="Q127" s="63">
        <v>579.11102300000005</v>
      </c>
      <c r="R127" s="63">
        <v>577.95696999999996</v>
      </c>
      <c r="S127" s="63">
        <v>576.80401600000005</v>
      </c>
      <c r="T127" s="63">
        <v>429.66799900000001</v>
      </c>
      <c r="U127" s="57">
        <v>429.66799900000001</v>
      </c>
      <c r="V127" s="63">
        <v>428.81900000000002</v>
      </c>
    </row>
    <row r="128" spans="1:22" ht="15" customHeight="1">
      <c r="A128" s="60" t="s">
        <v>88</v>
      </c>
      <c r="B128" s="59">
        <v>7.8710000000000004</v>
      </c>
      <c r="C128" s="59">
        <v>16.364999999999998</v>
      </c>
      <c r="D128" s="59">
        <v>20.927</v>
      </c>
      <c r="E128" s="57">
        <v>19.686001000000001</v>
      </c>
      <c r="F128" s="57">
        <v>79.177002000000002</v>
      </c>
      <c r="G128" s="63">
        <v>85.665001000000004</v>
      </c>
      <c r="H128" s="63">
        <v>86.073997000000006</v>
      </c>
      <c r="I128" s="63">
        <v>93.600998000000004</v>
      </c>
      <c r="J128" s="63">
        <v>106.083</v>
      </c>
      <c r="K128" s="57">
        <v>106.083</v>
      </c>
      <c r="L128" s="63">
        <v>109.403999</v>
      </c>
      <c r="M128" s="63">
        <v>109.404999</v>
      </c>
      <c r="N128" s="63">
        <v>105.485001</v>
      </c>
      <c r="O128" s="63">
        <v>104.072998</v>
      </c>
      <c r="P128" s="57">
        <v>104.072998</v>
      </c>
      <c r="Q128" s="63">
        <v>104.783997</v>
      </c>
      <c r="R128" s="63">
        <v>101.24099699999999</v>
      </c>
      <c r="S128" s="63">
        <v>109.945999</v>
      </c>
      <c r="T128" s="63">
        <v>121.797997</v>
      </c>
      <c r="U128" s="57">
        <v>121.797997</v>
      </c>
      <c r="V128" s="63">
        <v>128.11199999999999</v>
      </c>
    </row>
    <row r="129" spans="1:29" ht="15" customHeight="1">
      <c r="A129" s="58" t="s">
        <v>87</v>
      </c>
      <c r="B129" s="57">
        <v>2.3650000000000002</v>
      </c>
      <c r="C129" s="57">
        <v>8.4049999999999994</v>
      </c>
      <c r="D129" s="57">
        <v>11.180999999999999</v>
      </c>
      <c r="E129" s="1"/>
      <c r="F129" s="1"/>
      <c r="G129" s="63"/>
      <c r="H129" s="63"/>
      <c r="I129" s="63"/>
      <c r="J129" s="63"/>
      <c r="K129" s="1"/>
      <c r="L129" s="63"/>
      <c r="M129" s="63"/>
      <c r="N129" s="63"/>
      <c r="O129" s="63"/>
      <c r="P129" s="1"/>
      <c r="Q129" s="63"/>
      <c r="R129" s="63"/>
      <c r="S129" s="63"/>
      <c r="T129" s="63"/>
      <c r="U129" s="1"/>
      <c r="V129" s="63"/>
    </row>
    <row r="130" spans="1:29" ht="15" customHeight="1">
      <c r="A130" s="58" t="s">
        <v>86</v>
      </c>
      <c r="B130" s="57">
        <v>5.5060000000000002</v>
      </c>
      <c r="C130" s="57">
        <v>7.96</v>
      </c>
      <c r="D130" s="57">
        <v>9.7460000000000004</v>
      </c>
      <c r="E130" s="1"/>
      <c r="F130" s="1"/>
      <c r="G130" s="63"/>
      <c r="H130" s="63"/>
      <c r="I130" s="63"/>
      <c r="J130" s="63"/>
      <c r="K130" s="1"/>
      <c r="L130" s="63"/>
      <c r="M130" s="63"/>
      <c r="N130" s="63"/>
      <c r="O130" s="63"/>
      <c r="P130" s="1"/>
      <c r="Q130" s="63"/>
      <c r="R130" s="63"/>
      <c r="S130" s="63"/>
      <c r="T130" s="63"/>
      <c r="U130" s="1"/>
      <c r="V130" s="63"/>
    </row>
    <row r="131" spans="1:29" ht="15" customHeight="1">
      <c r="A131" s="62" t="s">
        <v>85</v>
      </c>
      <c r="B131" s="57">
        <v>456.37298600000003</v>
      </c>
      <c r="C131" s="57">
        <v>505.55300899999997</v>
      </c>
      <c r="D131" s="57">
        <v>490.02301</v>
      </c>
      <c r="E131" s="57">
        <v>1303.887939</v>
      </c>
      <c r="F131" s="57">
        <v>1427.1639399999999</v>
      </c>
      <c r="G131" s="63">
        <v>1451.151001</v>
      </c>
      <c r="H131" s="63">
        <v>1493.034058</v>
      </c>
      <c r="I131" s="63">
        <v>1467.969971</v>
      </c>
      <c r="J131" s="63">
        <v>1444.4429929999999</v>
      </c>
      <c r="K131" s="57">
        <v>1444.4429929999999</v>
      </c>
      <c r="L131" s="63">
        <v>1412.7719729999999</v>
      </c>
      <c r="M131" s="63">
        <v>1435.0729980000001</v>
      </c>
      <c r="N131" s="63">
        <v>1437.8149410000001</v>
      </c>
      <c r="O131" s="63">
        <v>1410.3129879999999</v>
      </c>
      <c r="P131" s="57">
        <v>1410.3129879999999</v>
      </c>
      <c r="Q131" s="63">
        <v>1359.3050539999999</v>
      </c>
      <c r="R131" s="63">
        <v>1386.93103</v>
      </c>
      <c r="S131" s="63">
        <v>1393.0119629999999</v>
      </c>
      <c r="T131" s="63">
        <v>1356.86499</v>
      </c>
      <c r="U131" s="57">
        <v>1356.86499</v>
      </c>
      <c r="V131" s="63">
        <v>1387.6410000000001</v>
      </c>
    </row>
    <row r="132" spans="1:29" ht="15" customHeight="1">
      <c r="A132" s="61" t="s">
        <v>84</v>
      </c>
      <c r="B132" s="1"/>
      <c r="C132" s="1"/>
      <c r="D132" s="57">
        <v>0</v>
      </c>
      <c r="E132" s="57">
        <v>0</v>
      </c>
      <c r="F132" s="57">
        <v>0</v>
      </c>
      <c r="G132" s="63">
        <v>0</v>
      </c>
      <c r="H132" s="63">
        <v>0</v>
      </c>
      <c r="I132" s="63">
        <v>0</v>
      </c>
      <c r="J132" s="63">
        <v>0</v>
      </c>
      <c r="K132" s="57">
        <v>0</v>
      </c>
      <c r="L132" s="63">
        <v>0</v>
      </c>
      <c r="M132" s="63">
        <v>0</v>
      </c>
      <c r="N132" s="63">
        <v>0</v>
      </c>
      <c r="O132" s="63">
        <v>0</v>
      </c>
      <c r="P132" s="57">
        <v>0</v>
      </c>
      <c r="Q132" s="63">
        <v>0</v>
      </c>
      <c r="R132" s="63">
        <v>0</v>
      </c>
      <c r="S132" s="63">
        <v>0</v>
      </c>
      <c r="T132" s="63">
        <v>0</v>
      </c>
      <c r="U132" s="57">
        <v>0</v>
      </c>
      <c r="V132" s="63">
        <v>0</v>
      </c>
    </row>
    <row r="133" spans="1:29" ht="15" customHeight="1">
      <c r="A133" s="61" t="s">
        <v>83</v>
      </c>
      <c r="B133" s="57">
        <v>605.69397000000004</v>
      </c>
      <c r="C133" s="57">
        <v>648.12902799999995</v>
      </c>
      <c r="D133" s="57">
        <v>652.49298099999999</v>
      </c>
      <c r="E133" s="57">
        <v>1587.2080080000001</v>
      </c>
      <c r="F133" s="57">
        <v>1615.235962</v>
      </c>
      <c r="G133" s="63">
        <v>1622.515991</v>
      </c>
      <c r="H133" s="63">
        <v>1628.5810550000001</v>
      </c>
      <c r="I133" s="63">
        <v>1626.11499</v>
      </c>
      <c r="J133" s="63">
        <v>1630.378052</v>
      </c>
      <c r="K133" s="57">
        <v>1630.378052</v>
      </c>
      <c r="L133" s="63">
        <v>1633.8270259999999</v>
      </c>
      <c r="M133" s="63">
        <v>1641.3210449999999</v>
      </c>
      <c r="N133" s="63">
        <v>1653.7139890000001</v>
      </c>
      <c r="O133" s="63">
        <v>1662.3220209999999</v>
      </c>
      <c r="P133" s="57">
        <v>1662.3220209999999</v>
      </c>
      <c r="Q133" s="63">
        <v>1650.160034</v>
      </c>
      <c r="R133" s="63">
        <v>1688.604004</v>
      </c>
      <c r="S133" s="63">
        <v>1684.739014</v>
      </c>
      <c r="T133" s="63">
        <v>1694.0660399999999</v>
      </c>
      <c r="U133" s="57">
        <v>1694.0660399999999</v>
      </c>
      <c r="V133" s="63">
        <v>1714.191</v>
      </c>
    </row>
    <row r="134" spans="1:29" ht="15" customHeight="1">
      <c r="A134" s="61" t="s">
        <v>82</v>
      </c>
      <c r="B134" s="57">
        <v>-149.320999</v>
      </c>
      <c r="C134" s="57">
        <v>-142.57600400000001</v>
      </c>
      <c r="D134" s="57">
        <v>-162.578003</v>
      </c>
      <c r="E134" s="57">
        <v>-283.47500600000001</v>
      </c>
      <c r="F134" s="57">
        <v>-188.22700499999999</v>
      </c>
      <c r="G134" s="63">
        <v>-171.520004</v>
      </c>
      <c r="H134" s="63">
        <v>-135.70199600000001</v>
      </c>
      <c r="I134" s="63">
        <v>-108.226997</v>
      </c>
      <c r="J134" s="63">
        <v>-113.001999</v>
      </c>
      <c r="K134" s="57">
        <v>-113.001999</v>
      </c>
      <c r="L134" s="63">
        <v>-138.837997</v>
      </c>
      <c r="M134" s="63">
        <v>-122.56500200000001</v>
      </c>
      <c r="N134" s="63">
        <v>-87.690002000000007</v>
      </c>
      <c r="O134" s="63">
        <v>-64.376998999999998</v>
      </c>
      <c r="P134" s="57">
        <v>-64.376998999999998</v>
      </c>
      <c r="Q134" s="63">
        <v>-19.327998999999998</v>
      </c>
      <c r="R134" s="63">
        <v>10.529</v>
      </c>
      <c r="S134" s="63">
        <v>60.639000000000003</v>
      </c>
      <c r="T134" s="63">
        <v>89.001998999999998</v>
      </c>
      <c r="U134" s="57">
        <v>89.001998999999998</v>
      </c>
      <c r="V134" s="63">
        <v>107.126</v>
      </c>
    </row>
    <row r="135" spans="1:29" ht="15" customHeight="1">
      <c r="A135" s="61" t="s">
        <v>81</v>
      </c>
      <c r="B135" s="1"/>
      <c r="C135" s="1"/>
      <c r="D135" s="1"/>
      <c r="E135" s="1"/>
      <c r="F135" s="1"/>
      <c r="G135" s="63"/>
      <c r="H135" s="63"/>
      <c r="I135" s="63"/>
      <c r="J135" s="63">
        <v>0</v>
      </c>
      <c r="K135" s="57">
        <v>0</v>
      </c>
      <c r="L135" s="63">
        <v>-1.796</v>
      </c>
      <c r="M135" s="63">
        <v>-3.262</v>
      </c>
      <c r="N135" s="63">
        <v>0.69099999999999995</v>
      </c>
      <c r="O135" s="63">
        <v>1.8779999999999999</v>
      </c>
      <c r="P135" s="57">
        <v>1.8779999999999999</v>
      </c>
      <c r="Q135" s="63">
        <v>-1.2170000000000001</v>
      </c>
      <c r="R135" s="63">
        <v>0.69099999999999995</v>
      </c>
      <c r="S135" s="63">
        <v>0.92700000000000005</v>
      </c>
      <c r="T135" s="63">
        <v>-1.6819999999999999</v>
      </c>
      <c r="U135" s="57">
        <v>-1.6819999999999999</v>
      </c>
      <c r="V135" s="63">
        <v>-0.56599999999999995</v>
      </c>
    </row>
    <row r="136" spans="1:29" ht="15" customHeight="1">
      <c r="A136" s="61" t="s">
        <v>80</v>
      </c>
      <c r="B136" s="1"/>
      <c r="C136" s="1"/>
      <c r="D136" s="1"/>
      <c r="E136" s="1"/>
      <c r="F136" s="57">
        <v>0</v>
      </c>
      <c r="G136" s="63"/>
      <c r="H136" s="63"/>
      <c r="I136" s="63">
        <v>-50.073002000000002</v>
      </c>
      <c r="J136" s="63">
        <v>-73.087997000000001</v>
      </c>
      <c r="K136" s="57">
        <v>-73.087997000000001</v>
      </c>
      <c r="L136" s="63">
        <v>-80.575996000000004</v>
      </c>
      <c r="M136" s="63">
        <v>-80.575996000000004</v>
      </c>
      <c r="N136" s="63">
        <v>-129.05600000000001</v>
      </c>
      <c r="O136" s="63">
        <v>-189.666</v>
      </c>
      <c r="P136" s="57">
        <v>-189.666</v>
      </c>
      <c r="Q136" s="63">
        <v>-270.466003</v>
      </c>
      <c r="R136" s="63">
        <v>-313.04998799999998</v>
      </c>
      <c r="S136" s="63">
        <v>-353.45001200000002</v>
      </c>
      <c r="T136" s="63">
        <v>-424.67800899999997</v>
      </c>
      <c r="U136" s="57">
        <v>-424.67800899999997</v>
      </c>
      <c r="V136" s="63">
        <v>-433.26799999999997</v>
      </c>
    </row>
    <row r="137" spans="1:29" ht="15" customHeight="1">
      <c r="A137" s="60" t="s">
        <v>79</v>
      </c>
      <c r="B137" s="57">
        <v>0</v>
      </c>
      <c r="C137" s="57">
        <v>0</v>
      </c>
      <c r="D137" s="59">
        <v>0.108</v>
      </c>
      <c r="E137" s="59">
        <v>0.155</v>
      </c>
      <c r="F137" s="57">
        <v>0.155</v>
      </c>
      <c r="G137" s="63">
        <v>0.155</v>
      </c>
      <c r="H137" s="63">
        <v>0.155</v>
      </c>
      <c r="I137" s="63">
        <v>0.155</v>
      </c>
      <c r="J137" s="63">
        <v>0.155</v>
      </c>
      <c r="K137" s="57">
        <v>0.155</v>
      </c>
      <c r="L137" s="63">
        <v>0.155</v>
      </c>
      <c r="M137" s="63">
        <v>0.155</v>
      </c>
      <c r="N137" s="63">
        <v>0.156</v>
      </c>
      <c r="O137" s="63">
        <v>0.156</v>
      </c>
      <c r="P137" s="59">
        <v>0.156</v>
      </c>
      <c r="Q137" s="63">
        <v>0.156</v>
      </c>
      <c r="R137" s="63">
        <v>0.157</v>
      </c>
      <c r="S137" s="63">
        <v>0.157</v>
      </c>
      <c r="T137" s="63">
        <v>0.157</v>
      </c>
      <c r="U137" s="59">
        <v>0.157</v>
      </c>
      <c r="V137" s="63">
        <v>0.158</v>
      </c>
    </row>
    <row r="138" spans="1:29" ht="15" customHeight="1">
      <c r="A138" s="58" t="s">
        <v>78</v>
      </c>
      <c r="B138" s="1"/>
      <c r="C138" s="1"/>
      <c r="D138" s="57">
        <v>7.4999999999999997E-2</v>
      </c>
      <c r="E138" s="57">
        <v>0.155</v>
      </c>
      <c r="F138" s="57">
        <v>0.155</v>
      </c>
      <c r="G138" s="63">
        <v>0.155</v>
      </c>
      <c r="H138" s="63">
        <v>0.155</v>
      </c>
      <c r="I138" s="63">
        <v>0.155</v>
      </c>
      <c r="J138" s="63">
        <v>0.155</v>
      </c>
      <c r="K138" s="57">
        <v>0.155</v>
      </c>
      <c r="L138" s="63">
        <v>0.155</v>
      </c>
      <c r="M138" s="63">
        <v>0.155</v>
      </c>
      <c r="N138" s="63">
        <v>0.156</v>
      </c>
      <c r="O138" s="63">
        <v>0.156</v>
      </c>
      <c r="P138" s="57">
        <v>0.156</v>
      </c>
      <c r="Q138" s="63">
        <v>0.156</v>
      </c>
      <c r="R138" s="63">
        <v>0.157</v>
      </c>
      <c r="S138" s="63">
        <v>0.157</v>
      </c>
      <c r="T138" s="63">
        <v>0.157</v>
      </c>
      <c r="U138" s="57">
        <v>0.157</v>
      </c>
      <c r="V138" s="63">
        <v>0.158</v>
      </c>
    </row>
    <row r="139" spans="1:29" ht="15" customHeight="1">
      <c r="A139" s="58" t="s">
        <v>77</v>
      </c>
      <c r="B139" s="1"/>
      <c r="C139" s="1"/>
      <c r="D139" s="57">
        <v>3.3000000000000002E-2</v>
      </c>
      <c r="E139" s="57">
        <v>0</v>
      </c>
      <c r="F139" s="1"/>
      <c r="G139" s="63">
        <v>0</v>
      </c>
      <c r="H139" s="63"/>
      <c r="I139" s="63"/>
      <c r="J139" s="63"/>
      <c r="K139" s="1"/>
      <c r="L139" s="63"/>
      <c r="M139" s="63"/>
      <c r="N139" s="63"/>
      <c r="O139" s="63">
        <v>0</v>
      </c>
      <c r="P139" s="57">
        <v>0</v>
      </c>
      <c r="Q139" s="63"/>
      <c r="R139" s="63">
        <v>0</v>
      </c>
      <c r="S139" s="63">
        <v>0</v>
      </c>
      <c r="T139" s="63">
        <v>0</v>
      </c>
      <c r="U139" s="57">
        <v>0</v>
      </c>
      <c r="V139" s="63">
        <v>0</v>
      </c>
    </row>
    <row r="141" spans="1:29" s="64" customFormat="1" ht="15" customHeight="1">
      <c r="A141" s="65" t="s">
        <v>113</v>
      </c>
      <c r="W141" s="113"/>
      <c r="X141" s="113"/>
      <c r="Y141" s="113"/>
      <c r="Z141" s="113"/>
      <c r="AA141" s="113"/>
      <c r="AB141" s="113"/>
      <c r="AC141" s="113"/>
    </row>
    <row r="142" spans="1:29" ht="15" customHeight="1">
      <c r="A142" t="s">
        <v>115</v>
      </c>
      <c r="B142" s="66">
        <f>B124</f>
        <v>8.2609999999999992</v>
      </c>
      <c r="C142" s="52">
        <f t="shared" ref="C142:U142" si="120">C124</f>
        <v>8.3040000000000003</v>
      </c>
      <c r="D142" s="52">
        <f t="shared" si="120"/>
        <v>8.3040000000000003</v>
      </c>
      <c r="E142" s="52">
        <f t="shared" si="120"/>
        <v>0</v>
      </c>
      <c r="F142" s="52">
        <f t="shared" si="120"/>
        <v>0</v>
      </c>
      <c r="G142" s="63">
        <f t="shared" si="120"/>
        <v>0</v>
      </c>
      <c r="H142" s="63">
        <f t="shared" si="120"/>
        <v>0</v>
      </c>
      <c r="I142" s="63">
        <f t="shared" si="120"/>
        <v>4.5</v>
      </c>
      <c r="J142" s="63">
        <f t="shared" si="120"/>
        <v>6</v>
      </c>
      <c r="K142" s="52">
        <f t="shared" si="120"/>
        <v>6</v>
      </c>
      <c r="L142" s="63">
        <f t="shared" si="120"/>
        <v>6</v>
      </c>
      <c r="M142" s="63">
        <f t="shared" si="120"/>
        <v>6</v>
      </c>
      <c r="N142" s="63">
        <f t="shared" si="120"/>
        <v>6</v>
      </c>
      <c r="O142" s="63">
        <f t="shared" si="120"/>
        <v>6</v>
      </c>
      <c r="P142" s="52">
        <f t="shared" si="120"/>
        <v>6</v>
      </c>
      <c r="Q142" s="63">
        <f t="shared" si="120"/>
        <v>6</v>
      </c>
      <c r="R142" s="63">
        <f t="shared" si="120"/>
        <v>6</v>
      </c>
      <c r="S142" s="63">
        <f t="shared" si="120"/>
        <v>6</v>
      </c>
      <c r="T142" s="63">
        <f t="shared" si="120"/>
        <v>3.3</v>
      </c>
      <c r="U142" s="52">
        <f t="shared" si="120"/>
        <v>3.3</v>
      </c>
      <c r="V142" s="63">
        <f t="shared" ref="V142" si="121">V124</f>
        <v>3.3</v>
      </c>
    </row>
    <row r="143" spans="1:29" ht="15" customHeight="1">
      <c r="A143" t="s">
        <v>116</v>
      </c>
      <c r="B143" s="66">
        <f>B127+B129</f>
        <v>895.32300799999996</v>
      </c>
      <c r="C143" s="52">
        <f>C127+C129</f>
        <v>1116.394014</v>
      </c>
      <c r="D143" s="52">
        <f t="shared" ref="D143" si="122">D127+D129</f>
        <v>1114.4939879999999</v>
      </c>
      <c r="E143" s="52">
        <f t="shared" ref="E143:T143" si="123">E127+E129+E128</f>
        <v>482.66799599999996</v>
      </c>
      <c r="F143" s="52">
        <f t="shared" si="123"/>
        <v>543.89199799999994</v>
      </c>
      <c r="G143" s="63">
        <f t="shared" si="123"/>
        <v>550.663994</v>
      </c>
      <c r="H143" s="63">
        <f t="shared" si="123"/>
        <v>591.35799399999996</v>
      </c>
      <c r="I143" s="63">
        <f t="shared" si="123"/>
        <v>679.63401799999997</v>
      </c>
      <c r="J143" s="63">
        <f t="shared" si="123"/>
        <v>690.96202799999992</v>
      </c>
      <c r="K143" s="52">
        <f t="shared" si="123"/>
        <v>690.96202799999992</v>
      </c>
      <c r="L143" s="63">
        <f t="shared" si="123"/>
        <v>693.13001199999997</v>
      </c>
      <c r="M143" s="63">
        <f t="shared" si="123"/>
        <v>691.97701999999992</v>
      </c>
      <c r="N143" s="63">
        <f t="shared" si="123"/>
        <v>686.90303100000006</v>
      </c>
      <c r="O143" s="63">
        <f t="shared" si="123"/>
        <v>684.33801299999993</v>
      </c>
      <c r="P143" s="52">
        <f t="shared" si="123"/>
        <v>684.33801299999993</v>
      </c>
      <c r="Q143" s="63">
        <f t="shared" si="123"/>
        <v>683.89502000000005</v>
      </c>
      <c r="R143" s="63">
        <f t="shared" si="123"/>
        <v>679.19796699999995</v>
      </c>
      <c r="S143" s="63">
        <f t="shared" si="123"/>
        <v>686.75001500000008</v>
      </c>
      <c r="T143" s="63">
        <f t="shared" si="123"/>
        <v>551.46599600000002</v>
      </c>
      <c r="U143" s="52">
        <f>U127+U129+U128</f>
        <v>551.46599600000002</v>
      </c>
      <c r="V143" s="63">
        <f t="shared" ref="V143" si="124">V127+V129+V128</f>
        <v>556.93100000000004</v>
      </c>
    </row>
    <row r="144" spans="1:29" ht="15" customHeight="1">
      <c r="A144" t="s">
        <v>114</v>
      </c>
      <c r="B144" s="67">
        <f>B142+B143</f>
        <v>903.58400799999993</v>
      </c>
      <c r="C144" s="52">
        <f t="shared" ref="C144:U144" si="125">C142+C143</f>
        <v>1124.6980140000001</v>
      </c>
      <c r="D144" s="52">
        <f t="shared" si="125"/>
        <v>1122.797988</v>
      </c>
      <c r="E144" s="52">
        <f t="shared" si="125"/>
        <v>482.66799599999996</v>
      </c>
      <c r="F144" s="52">
        <f t="shared" si="125"/>
        <v>543.89199799999994</v>
      </c>
      <c r="G144" s="63">
        <f t="shared" si="125"/>
        <v>550.663994</v>
      </c>
      <c r="H144" s="63">
        <f t="shared" si="125"/>
        <v>591.35799399999996</v>
      </c>
      <c r="I144" s="63">
        <f t="shared" si="125"/>
        <v>684.13401799999997</v>
      </c>
      <c r="J144" s="63">
        <f t="shared" si="125"/>
        <v>696.96202799999992</v>
      </c>
      <c r="K144" s="52">
        <f t="shared" si="125"/>
        <v>696.96202799999992</v>
      </c>
      <c r="L144" s="63">
        <f t="shared" si="125"/>
        <v>699.13001199999997</v>
      </c>
      <c r="M144" s="63">
        <f t="shared" si="125"/>
        <v>697.97701999999992</v>
      </c>
      <c r="N144" s="63">
        <f t="shared" si="125"/>
        <v>692.90303100000006</v>
      </c>
      <c r="O144" s="63">
        <f t="shared" si="125"/>
        <v>690.33801299999993</v>
      </c>
      <c r="P144" s="52">
        <f t="shared" si="125"/>
        <v>690.33801299999993</v>
      </c>
      <c r="Q144" s="63">
        <f t="shared" si="125"/>
        <v>689.89502000000005</v>
      </c>
      <c r="R144" s="63">
        <f t="shared" si="125"/>
        <v>685.19796699999995</v>
      </c>
      <c r="S144" s="63">
        <f t="shared" si="125"/>
        <v>692.75001500000008</v>
      </c>
      <c r="T144" s="63">
        <f t="shared" si="125"/>
        <v>554.76599599999997</v>
      </c>
      <c r="U144" s="52">
        <f t="shared" si="125"/>
        <v>554.76599599999997</v>
      </c>
      <c r="V144" s="63">
        <f t="shared" ref="V144" si="126">V142+V143</f>
        <v>560.23099999999999</v>
      </c>
    </row>
    <row r="145" spans="1:30" ht="15" customHeight="1">
      <c r="A145" t="s">
        <v>117</v>
      </c>
      <c r="B145" s="66">
        <f>B106</f>
        <v>101.920998</v>
      </c>
      <c r="C145" s="52">
        <f t="shared" ref="C145:U145" si="127">C106</f>
        <v>82.282996999999995</v>
      </c>
      <c r="D145" s="52">
        <f t="shared" si="127"/>
        <v>105.94699900000001</v>
      </c>
      <c r="E145" s="52">
        <f t="shared" si="127"/>
        <v>215.01199299999999</v>
      </c>
      <c r="F145" s="52">
        <f t="shared" si="127"/>
        <v>250.53599500000001</v>
      </c>
      <c r="G145" s="63">
        <f t="shared" si="127"/>
        <v>66.055999999999997</v>
      </c>
      <c r="H145" s="63">
        <f t="shared" si="127"/>
        <v>25.812000000000001</v>
      </c>
      <c r="I145" s="63">
        <f t="shared" si="127"/>
        <v>159.621002</v>
      </c>
      <c r="J145" s="63">
        <f t="shared" si="127"/>
        <v>120.817001</v>
      </c>
      <c r="K145" s="52">
        <f t="shared" si="127"/>
        <v>120.817001</v>
      </c>
      <c r="L145" s="63">
        <f t="shared" si="127"/>
        <v>86.864998</v>
      </c>
      <c r="M145" s="63">
        <f t="shared" si="127"/>
        <v>126.25900300000001</v>
      </c>
      <c r="N145" s="63">
        <f t="shared" si="127"/>
        <v>244.59700000000001</v>
      </c>
      <c r="O145" s="63">
        <f t="shared" si="127"/>
        <v>278.31399499999998</v>
      </c>
      <c r="P145" s="52">
        <f t="shared" si="127"/>
        <v>278.31399499999998</v>
      </c>
      <c r="Q145" s="63">
        <f t="shared" si="127"/>
        <v>274.75900300000001</v>
      </c>
      <c r="R145" s="63">
        <f t="shared" si="127"/>
        <v>227.399002</v>
      </c>
      <c r="S145" s="63">
        <f t="shared" si="127"/>
        <v>346.94799799999998</v>
      </c>
      <c r="T145" s="63">
        <f t="shared" si="127"/>
        <v>164.02499399999999</v>
      </c>
      <c r="U145" s="52">
        <f t="shared" si="127"/>
        <v>164.02499399999999</v>
      </c>
      <c r="V145" s="63">
        <f t="shared" ref="V145" si="128">V106</f>
        <v>148.13399999999999</v>
      </c>
    </row>
    <row r="146" spans="1:30" ht="15" customHeight="1">
      <c r="A146" t="s">
        <v>118</v>
      </c>
      <c r="B146" s="68">
        <f>B144-B145</f>
        <v>801.66300999999999</v>
      </c>
      <c r="C146" s="52">
        <f t="shared" ref="C146:U146" si="129">C144-C145</f>
        <v>1042.415017</v>
      </c>
      <c r="D146" s="52">
        <f t="shared" si="129"/>
        <v>1016.850989</v>
      </c>
      <c r="E146" s="52">
        <f t="shared" si="129"/>
        <v>267.65600299999994</v>
      </c>
      <c r="F146" s="52">
        <f t="shared" si="129"/>
        <v>293.35600299999993</v>
      </c>
      <c r="G146" s="63">
        <f t="shared" si="129"/>
        <v>484.60799400000002</v>
      </c>
      <c r="H146" s="63">
        <f t="shared" si="129"/>
        <v>565.54599399999995</v>
      </c>
      <c r="I146" s="63">
        <f t="shared" si="129"/>
        <v>524.51301599999999</v>
      </c>
      <c r="J146" s="63">
        <f t="shared" si="129"/>
        <v>576.14502699999991</v>
      </c>
      <c r="K146" s="52">
        <f t="shared" si="129"/>
        <v>576.14502699999991</v>
      </c>
      <c r="L146" s="63">
        <f t="shared" si="129"/>
        <v>612.26501399999995</v>
      </c>
      <c r="M146" s="63">
        <f t="shared" si="129"/>
        <v>571.71801699999992</v>
      </c>
      <c r="N146" s="63">
        <f t="shared" si="129"/>
        <v>448.30603100000008</v>
      </c>
      <c r="O146" s="63">
        <f t="shared" si="129"/>
        <v>412.02401799999996</v>
      </c>
      <c r="P146" s="52">
        <f t="shared" si="129"/>
        <v>412.02401799999996</v>
      </c>
      <c r="Q146" s="63">
        <f t="shared" si="129"/>
        <v>415.13601700000004</v>
      </c>
      <c r="R146" s="63">
        <f t="shared" si="129"/>
        <v>457.79896499999995</v>
      </c>
      <c r="S146" s="63">
        <f t="shared" si="129"/>
        <v>345.80201700000009</v>
      </c>
      <c r="T146" s="63">
        <f t="shared" si="129"/>
        <v>390.74100199999998</v>
      </c>
      <c r="U146" s="52">
        <f t="shared" si="129"/>
        <v>390.74100199999998</v>
      </c>
      <c r="V146" s="63">
        <f t="shared" ref="V146" si="130">V144-V145</f>
        <v>412.09699999999998</v>
      </c>
      <c r="Z146" s="144">
        <f>Z148*2.5</f>
        <v>1059.0580006114353</v>
      </c>
      <c r="AA146" s="144">
        <f t="shared" ref="AA146:AC146" ca="1" si="131">AA148*2.5</f>
        <v>1222.1759464296083</v>
      </c>
      <c r="AB146" s="144">
        <f t="shared" ca="1" si="131"/>
        <v>1419.7870872547173</v>
      </c>
      <c r="AC146" s="144">
        <f t="shared" ca="1" si="131"/>
        <v>1636.1827455626767</v>
      </c>
    </row>
    <row r="148" spans="1:30" ht="15" customHeight="1" thickBot="1">
      <c r="A148" t="s">
        <v>119</v>
      </c>
      <c r="D148" s="28">
        <f>D72</f>
        <v>174.76101599999996</v>
      </c>
      <c r="E148" s="52">
        <f t="shared" ref="E148:U148" si="132">E72</f>
        <v>206.45199399999996</v>
      </c>
      <c r="F148" s="52">
        <f t="shared" si="132"/>
        <v>268.38798700000007</v>
      </c>
      <c r="G148" s="63">
        <f t="shared" si="132"/>
        <v>58.520010000000006</v>
      </c>
      <c r="H148" s="63">
        <f t="shared" si="132"/>
        <v>90.92099300000001</v>
      </c>
      <c r="I148" s="63">
        <f t="shared" si="132"/>
        <v>85.08299300000003</v>
      </c>
      <c r="J148" s="63">
        <f t="shared" si="132"/>
        <v>65.075986999999969</v>
      </c>
      <c r="K148" s="52">
        <f t="shared" si="132"/>
        <v>290.38499099999996</v>
      </c>
      <c r="L148" s="63">
        <f t="shared" si="132"/>
        <v>15.100010000000005</v>
      </c>
      <c r="M148" s="63">
        <f t="shared" si="132"/>
        <v>76.311994000000027</v>
      </c>
      <c r="N148" s="63">
        <f t="shared" si="132"/>
        <v>96.667002999999994</v>
      </c>
      <c r="O148" s="63">
        <f t="shared" si="132"/>
        <v>101.95101899999997</v>
      </c>
      <c r="P148" s="52">
        <f t="shared" si="132"/>
        <v>283.83802300000002</v>
      </c>
      <c r="Q148" s="63">
        <f t="shared" si="132"/>
        <v>55.666995999999997</v>
      </c>
      <c r="R148" s="63">
        <f t="shared" si="132"/>
        <v>113.283001</v>
      </c>
      <c r="S148" s="63">
        <f t="shared" si="132"/>
        <v>119.41998700000005</v>
      </c>
      <c r="T148" s="63">
        <f t="shared" si="132"/>
        <v>91.753989999999988</v>
      </c>
      <c r="U148" s="52">
        <f t="shared" si="132"/>
        <v>379.3409909999998</v>
      </c>
      <c r="V148" s="63">
        <f t="shared" ref="V148" si="133">V72</f>
        <v>65.868000000000038</v>
      </c>
      <c r="Z148" s="144">
        <f>Z72</f>
        <v>423.62320024457409</v>
      </c>
      <c r="AA148" s="144">
        <f t="shared" ref="AA148:AC148" ca="1" si="134">AA72</f>
        <v>488.87037857184328</v>
      </c>
      <c r="AB148" s="144">
        <f t="shared" ca="1" si="134"/>
        <v>567.91483490188693</v>
      </c>
      <c r="AC148" s="144">
        <f t="shared" ca="1" si="134"/>
        <v>654.47309822507066</v>
      </c>
      <c r="AD148" s="144"/>
    </row>
    <row r="149" spans="1:30" s="12" customFormat="1" ht="15" customHeight="1" thickBot="1">
      <c r="A149" s="69" t="s">
        <v>120</v>
      </c>
      <c r="D149" s="55">
        <f>D146/D148</f>
        <v>5.8185229879872082</v>
      </c>
      <c r="E149" s="55">
        <f t="shared" ref="E149:F149" si="135">E146/E148</f>
        <v>1.2964563713538171</v>
      </c>
      <c r="F149" s="55">
        <f t="shared" si="135"/>
        <v>1.0930295587335652</v>
      </c>
      <c r="G149" s="70"/>
      <c r="H149" s="70"/>
      <c r="I149" s="70"/>
      <c r="J149" s="70"/>
      <c r="K149" s="55">
        <f>K146/K148</f>
        <v>1.9840730232507093</v>
      </c>
      <c r="L149" s="71">
        <f>L146/SUM(L148,H148:J148)</f>
        <v>2.3899799150193557</v>
      </c>
      <c r="M149" s="71">
        <f>M146/SUM(L148:M148,I148:J148)</f>
        <v>2.3666667558054066</v>
      </c>
      <c r="N149" s="71">
        <f>N146/SUM(L148:N148,J148)</f>
        <v>1.7708757149779952</v>
      </c>
      <c r="O149" s="71">
        <f>O146/(O148+N148+M148+L148)</f>
        <v>1.420625387248698</v>
      </c>
      <c r="P149" s="55">
        <f>P146/P148</f>
        <v>1.4516167130997806</v>
      </c>
      <c r="Q149" s="71">
        <f>Q146/(Q148+O148+M148+N148)</f>
        <v>1.2557161799151413</v>
      </c>
      <c r="R149" s="71">
        <f>R146/(R148+Q148+O148+N148)</f>
        <v>1.2454809486567437</v>
      </c>
      <c r="S149" s="71">
        <f>S146/SUM(Q148:S148,O148)</f>
        <v>0.88594263271044138</v>
      </c>
      <c r="T149" s="71">
        <f>T146/SUM(Q148:T148)</f>
        <v>1.0279304351374585</v>
      </c>
      <c r="U149" s="55">
        <f>U146/U148</f>
        <v>1.030052146407769</v>
      </c>
      <c r="V149" s="71">
        <f>V146/SUM(V148,R148:T148)</f>
        <v>1.0557792179008332</v>
      </c>
      <c r="W149" s="109"/>
      <c r="X149" s="109"/>
      <c r="Y149" s="109"/>
      <c r="Z149" s="100"/>
      <c r="AA149" s="100"/>
      <c r="AB149" s="100"/>
      <c r="AC149" s="100"/>
    </row>
    <row r="151" spans="1:30" s="64" customFormat="1" ht="15" customHeight="1">
      <c r="A151" s="65" t="s">
        <v>121</v>
      </c>
      <c r="W151" s="113"/>
      <c r="X151" s="113"/>
      <c r="Y151" s="113"/>
      <c r="Z151" s="113"/>
      <c r="AA151" s="113"/>
      <c r="AB151" s="113"/>
      <c r="AC151" s="113"/>
    </row>
    <row r="152" spans="1:30" ht="15" customHeight="1">
      <c r="A152" t="s">
        <v>125</v>
      </c>
      <c r="D152" s="28">
        <f>D104</f>
        <v>1788.262939</v>
      </c>
      <c r="E152" s="28">
        <f t="shared" ref="E152:U152" si="136">E104</f>
        <v>1931.855957</v>
      </c>
      <c r="F152" s="28">
        <f t="shared" si="136"/>
        <v>2187.8339839999999</v>
      </c>
      <c r="G152" s="76">
        <f t="shared" si="136"/>
        <v>2215.1059570000002</v>
      </c>
      <c r="H152" s="76">
        <f t="shared" si="136"/>
        <v>2319.4799800000001</v>
      </c>
      <c r="I152" s="76">
        <f t="shared" si="136"/>
        <v>2420.548096</v>
      </c>
      <c r="J152" s="76">
        <f t="shared" si="136"/>
        <v>2383.0910640000002</v>
      </c>
      <c r="K152" s="28">
        <f t="shared" si="136"/>
        <v>2383.0910640000002</v>
      </c>
      <c r="L152" s="76">
        <f t="shared" si="136"/>
        <v>2348.7009280000002</v>
      </c>
      <c r="M152" s="76">
        <f t="shared" si="136"/>
        <v>2383.9780270000001</v>
      </c>
      <c r="N152" s="76">
        <f t="shared" si="136"/>
        <v>2358.8659670000002</v>
      </c>
      <c r="O152" s="76">
        <f t="shared" si="136"/>
        <v>2343.8759770000001</v>
      </c>
      <c r="P152" s="28">
        <f t="shared" si="136"/>
        <v>2343.8759770000001</v>
      </c>
      <c r="Q152" s="76">
        <f t="shared" si="136"/>
        <v>2288.7280270000001</v>
      </c>
      <c r="R152" s="76">
        <f t="shared" si="136"/>
        <v>2295.5119629999999</v>
      </c>
      <c r="S152" s="76">
        <f t="shared" si="136"/>
        <v>2340.7280270000001</v>
      </c>
      <c r="T152" s="76">
        <f t="shared" si="136"/>
        <v>2167.7109380000002</v>
      </c>
      <c r="U152" s="28">
        <f t="shared" si="136"/>
        <v>2167.7109380000002</v>
      </c>
      <c r="V152" s="76">
        <f t="shared" ref="V152" si="137">V104</f>
        <v>2173.5740000000001</v>
      </c>
    </row>
    <row r="153" spans="1:30" ht="15" customHeight="1">
      <c r="A153" t="s">
        <v>126</v>
      </c>
      <c r="D153" s="28">
        <f>SUM(D121:D122,D125,D126)</f>
        <v>152.117998</v>
      </c>
      <c r="E153" s="28">
        <f t="shared" ref="E153:U153" si="138">SUM(E121:E122,E125,E126)</f>
        <v>144.19699699999998</v>
      </c>
      <c r="F153" s="28">
        <f t="shared" si="138"/>
        <v>216.70599700000002</v>
      </c>
      <c r="G153" s="76">
        <f t="shared" si="138"/>
        <v>213.07699600000001</v>
      </c>
      <c r="H153" s="76">
        <f t="shared" si="138"/>
        <v>235.04199699999998</v>
      </c>
      <c r="I153" s="76">
        <f t="shared" si="138"/>
        <v>264.077</v>
      </c>
      <c r="J153" s="76">
        <f t="shared" si="138"/>
        <v>237.24999700000001</v>
      </c>
      <c r="K153" s="28">
        <f t="shared" si="138"/>
        <v>237.24999700000001</v>
      </c>
      <c r="L153" s="76">
        <f t="shared" si="138"/>
        <v>236.65900099999999</v>
      </c>
      <c r="M153" s="76">
        <f t="shared" si="138"/>
        <v>250.86999800000001</v>
      </c>
      <c r="N153" s="76">
        <f t="shared" si="138"/>
        <v>228.01799699999998</v>
      </c>
      <c r="O153" s="76">
        <f t="shared" si="138"/>
        <v>243.22499400000004</v>
      </c>
      <c r="P153" s="28">
        <f t="shared" si="138"/>
        <v>243.22499400000004</v>
      </c>
      <c r="Q153" s="76">
        <f t="shared" si="138"/>
        <v>239.16000400000001</v>
      </c>
      <c r="R153" s="76">
        <f t="shared" si="138"/>
        <v>223.38300299999997</v>
      </c>
      <c r="S153" s="76">
        <f t="shared" si="138"/>
        <v>254.96599199999997</v>
      </c>
      <c r="T153" s="76">
        <f t="shared" si="138"/>
        <v>256.079994</v>
      </c>
      <c r="U153" s="28">
        <f t="shared" si="138"/>
        <v>256.079994</v>
      </c>
      <c r="V153" s="76">
        <f t="shared" ref="V153" si="139">SUM(V121:V122,V125,V126)</f>
        <v>225.702</v>
      </c>
    </row>
    <row r="154" spans="1:30" ht="15" customHeight="1">
      <c r="A154" t="s">
        <v>122</v>
      </c>
      <c r="D154" s="45">
        <f>D152-D153</f>
        <v>1636.144941</v>
      </c>
      <c r="E154" s="45">
        <f t="shared" ref="E154:U154" si="140">E152-E153</f>
        <v>1787.65896</v>
      </c>
      <c r="F154" s="45">
        <f t="shared" si="140"/>
        <v>1971.1279869999998</v>
      </c>
      <c r="G154" s="77">
        <f t="shared" si="140"/>
        <v>2002.0289610000002</v>
      </c>
      <c r="H154" s="77">
        <f t="shared" si="140"/>
        <v>2084.4379830000003</v>
      </c>
      <c r="I154" s="77">
        <f t="shared" si="140"/>
        <v>2156.4710960000002</v>
      </c>
      <c r="J154" s="77">
        <f t="shared" si="140"/>
        <v>2145.8410670000003</v>
      </c>
      <c r="K154" s="45">
        <f t="shared" si="140"/>
        <v>2145.8410670000003</v>
      </c>
      <c r="L154" s="77">
        <f t="shared" si="140"/>
        <v>2112.0419270000002</v>
      </c>
      <c r="M154" s="77">
        <f t="shared" si="140"/>
        <v>2133.108029</v>
      </c>
      <c r="N154" s="77">
        <f t="shared" si="140"/>
        <v>2130.8479700000003</v>
      </c>
      <c r="O154" s="77">
        <f t="shared" si="140"/>
        <v>2100.650983</v>
      </c>
      <c r="P154" s="45">
        <f t="shared" si="140"/>
        <v>2100.650983</v>
      </c>
      <c r="Q154" s="77">
        <f t="shared" si="140"/>
        <v>2049.5680230000003</v>
      </c>
      <c r="R154" s="77">
        <f t="shared" si="140"/>
        <v>2072.12896</v>
      </c>
      <c r="S154" s="77">
        <f t="shared" si="140"/>
        <v>2085.7620350000002</v>
      </c>
      <c r="T154" s="77">
        <f t="shared" si="140"/>
        <v>1911.6309440000002</v>
      </c>
      <c r="U154" s="45">
        <f t="shared" si="140"/>
        <v>1911.6309440000002</v>
      </c>
      <c r="V154" s="77">
        <f t="shared" ref="V154" si="141">V152-V153</f>
        <v>1947.8720000000001</v>
      </c>
    </row>
    <row r="155" spans="1:30" ht="15" customHeight="1">
      <c r="A155" t="s">
        <v>123</v>
      </c>
      <c r="D155" s="66">
        <f>D113</f>
        <v>944.29797399999995</v>
      </c>
      <c r="E155" s="66">
        <f t="shared" ref="E155:U155" si="142">E113</f>
        <v>951.39001499999995</v>
      </c>
      <c r="F155" s="66">
        <f t="shared" si="142"/>
        <v>951.39001499999995</v>
      </c>
      <c r="G155" s="78">
        <f t="shared" si="142"/>
        <v>992.51300000000003</v>
      </c>
      <c r="H155" s="78">
        <f t="shared" si="142"/>
        <v>987.44000200000005</v>
      </c>
      <c r="I155" s="78">
        <f t="shared" si="142"/>
        <v>987.44000200000005</v>
      </c>
      <c r="J155" s="78">
        <f t="shared" si="142"/>
        <v>993.99499500000002</v>
      </c>
      <c r="K155" s="66">
        <f t="shared" si="142"/>
        <v>993.99499500000002</v>
      </c>
      <c r="L155" s="78">
        <f t="shared" si="142"/>
        <v>993.99499500000002</v>
      </c>
      <c r="M155" s="78">
        <f t="shared" si="142"/>
        <v>994.15502900000001</v>
      </c>
      <c r="N155" s="78">
        <f t="shared" si="142"/>
        <v>994.15502900000001</v>
      </c>
      <c r="O155" s="78">
        <f t="shared" si="142"/>
        <v>994.27099599999997</v>
      </c>
      <c r="P155" s="66">
        <f t="shared" si="142"/>
        <v>994.27099599999997</v>
      </c>
      <c r="Q155" s="78">
        <f t="shared" si="142"/>
        <v>967.81597899999997</v>
      </c>
      <c r="R155" s="78">
        <f t="shared" si="142"/>
        <v>967.81597899999997</v>
      </c>
      <c r="S155" s="78">
        <f t="shared" si="142"/>
        <v>967.81597899999997</v>
      </c>
      <c r="T155" s="78">
        <f t="shared" si="142"/>
        <v>967.81597899999997</v>
      </c>
      <c r="U155" s="66">
        <f t="shared" si="142"/>
        <v>967.81597899999997</v>
      </c>
      <c r="V155" s="78">
        <f t="shared" ref="V155" si="143">V113</f>
        <v>973.95</v>
      </c>
    </row>
    <row r="156" spans="1:30" ht="15" customHeight="1">
      <c r="A156" t="s">
        <v>124</v>
      </c>
      <c r="D156" s="66">
        <f>D114</f>
        <v>342.41799900000001</v>
      </c>
      <c r="E156" s="66">
        <f t="shared" ref="E156:U156" si="144">E114</f>
        <v>292.37399299999998</v>
      </c>
      <c r="F156" s="66">
        <f t="shared" si="144"/>
        <v>242.57200599999999</v>
      </c>
      <c r="G156" s="78">
        <f t="shared" si="144"/>
        <v>272.69198599999999</v>
      </c>
      <c r="H156" s="78">
        <f t="shared" si="144"/>
        <v>260.12799100000001</v>
      </c>
      <c r="I156" s="78">
        <f t="shared" si="144"/>
        <v>247.60600299999999</v>
      </c>
      <c r="J156" s="78">
        <f t="shared" si="144"/>
        <v>245.83500699999999</v>
      </c>
      <c r="K156" s="66">
        <f t="shared" si="144"/>
        <v>245.83500699999999</v>
      </c>
      <c r="L156" s="78">
        <f t="shared" si="144"/>
        <v>233.99800099999999</v>
      </c>
      <c r="M156" s="78">
        <f t="shared" si="144"/>
        <v>222.378006</v>
      </c>
      <c r="N156" s="78">
        <f t="shared" si="144"/>
        <v>210.800003</v>
      </c>
      <c r="O156" s="78">
        <f t="shared" si="144"/>
        <v>199.496994</v>
      </c>
      <c r="P156" s="66">
        <f t="shared" si="144"/>
        <v>199.496994</v>
      </c>
      <c r="Q156" s="78">
        <f t="shared" si="144"/>
        <v>183.604004</v>
      </c>
      <c r="R156" s="78">
        <f t="shared" si="144"/>
        <v>173.73199500000001</v>
      </c>
      <c r="S156" s="78">
        <f t="shared" si="144"/>
        <v>164.08299299999999</v>
      </c>
      <c r="T156" s="78">
        <f t="shared" si="144"/>
        <v>154.51800499999999</v>
      </c>
      <c r="U156" s="66">
        <f t="shared" si="144"/>
        <v>154.51800499999999</v>
      </c>
      <c r="V156" s="78">
        <f t="shared" ref="V156" si="145">V114</f>
        <v>146.29499999999999</v>
      </c>
    </row>
    <row r="157" spans="1:30" ht="15" customHeight="1">
      <c r="A157" t="s">
        <v>127</v>
      </c>
      <c r="D157" s="45">
        <f>D154-D155-D156</f>
        <v>349.42896800000005</v>
      </c>
      <c r="E157" s="45">
        <f t="shared" ref="E157:U157" si="146">E154-E155-E156</f>
        <v>543.8949520000001</v>
      </c>
      <c r="F157" s="45">
        <f t="shared" si="146"/>
        <v>777.16596599999991</v>
      </c>
      <c r="G157" s="77">
        <f t="shared" si="146"/>
        <v>736.82397500000025</v>
      </c>
      <c r="H157" s="77">
        <f t="shared" si="146"/>
        <v>836.86999000000014</v>
      </c>
      <c r="I157" s="77">
        <f t="shared" si="146"/>
        <v>921.42509100000018</v>
      </c>
      <c r="J157" s="77">
        <f t="shared" si="146"/>
        <v>906.01106500000026</v>
      </c>
      <c r="K157" s="45">
        <f t="shared" si="146"/>
        <v>906.01106500000026</v>
      </c>
      <c r="L157" s="77">
        <f t="shared" si="146"/>
        <v>884.04893100000027</v>
      </c>
      <c r="M157" s="77">
        <f t="shared" si="146"/>
        <v>916.57499399999995</v>
      </c>
      <c r="N157" s="77">
        <f t="shared" si="146"/>
        <v>925.89293800000019</v>
      </c>
      <c r="O157" s="77">
        <f t="shared" si="146"/>
        <v>906.88299300000006</v>
      </c>
      <c r="P157" s="45">
        <f t="shared" si="146"/>
        <v>906.88299300000006</v>
      </c>
      <c r="Q157" s="77">
        <f t="shared" si="146"/>
        <v>898.14804000000026</v>
      </c>
      <c r="R157" s="77">
        <f t="shared" si="146"/>
        <v>930.58098600000005</v>
      </c>
      <c r="S157" s="77">
        <f t="shared" si="146"/>
        <v>953.86306300000024</v>
      </c>
      <c r="T157" s="77">
        <f t="shared" si="146"/>
        <v>789.29696000000024</v>
      </c>
      <c r="U157" s="45">
        <f t="shared" si="146"/>
        <v>789.29696000000024</v>
      </c>
      <c r="V157" s="77">
        <f t="shared" ref="V157" si="147">V154-V155-V156</f>
        <v>827.62700000000007</v>
      </c>
    </row>
    <row r="159" spans="1:30" ht="15" customHeight="1">
      <c r="A159" t="s">
        <v>128</v>
      </c>
      <c r="D159" s="45">
        <f t="shared" ref="D159:U159" si="148">D72-D53-D18</f>
        <v>85.63701599999996</v>
      </c>
      <c r="E159" s="45">
        <f t="shared" si="148"/>
        <v>113.73199399999996</v>
      </c>
      <c r="F159" s="45">
        <f t="shared" si="148"/>
        <v>172.58298700000006</v>
      </c>
      <c r="G159" s="77">
        <f t="shared" si="148"/>
        <v>32.059010000000008</v>
      </c>
      <c r="H159" s="77">
        <f t="shared" si="148"/>
        <v>63.770993000000018</v>
      </c>
      <c r="I159" s="77">
        <f t="shared" si="148"/>
        <v>56.917993000000024</v>
      </c>
      <c r="J159" s="77">
        <f t="shared" si="148"/>
        <v>35.015986999999967</v>
      </c>
      <c r="K159" s="45">
        <f t="shared" si="148"/>
        <v>171.85199099999994</v>
      </c>
      <c r="L159" s="77">
        <f t="shared" si="148"/>
        <v>-18.739989999999999</v>
      </c>
      <c r="M159" s="77">
        <f t="shared" si="148"/>
        <v>43.87599400000002</v>
      </c>
      <c r="N159" s="77">
        <f t="shared" si="148"/>
        <v>63.604002999999992</v>
      </c>
      <c r="O159" s="77">
        <f t="shared" si="148"/>
        <v>67.946018999999964</v>
      </c>
      <c r="P159" s="45">
        <f t="shared" si="148"/>
        <v>151.29402300000004</v>
      </c>
      <c r="Q159" s="77">
        <f t="shared" si="148"/>
        <v>23.729995999999993</v>
      </c>
      <c r="R159" s="77">
        <f t="shared" si="148"/>
        <v>81.079001000000005</v>
      </c>
      <c r="S159" s="77">
        <f t="shared" si="148"/>
        <v>87.548987000000054</v>
      </c>
      <c r="T159" s="77">
        <f t="shared" si="148"/>
        <v>58.723989999999986</v>
      </c>
      <c r="U159" s="45">
        <f t="shared" si="148"/>
        <v>250.29899099999983</v>
      </c>
      <c r="V159" s="77">
        <f t="shared" ref="V159" si="149">V72-V53-V18</f>
        <v>32.813000000000038</v>
      </c>
    </row>
    <row r="160" spans="1:30" ht="15" customHeight="1">
      <c r="A160" t="s">
        <v>129</v>
      </c>
      <c r="D160" s="56">
        <f>D88</f>
        <v>0.25527460860792706</v>
      </c>
      <c r="E160" s="56">
        <f t="shared" ref="E160:U160" si="150">E88</f>
        <v>0.25655856163351948</v>
      </c>
      <c r="F160" s="56">
        <f t="shared" si="150"/>
        <v>0.22819582233026248</v>
      </c>
      <c r="G160" s="79">
        <f t="shared" si="150"/>
        <v>0.22517103379559347</v>
      </c>
      <c r="H160" s="79">
        <f t="shared" si="150"/>
        <v>0.24552439820337221</v>
      </c>
      <c r="I160" s="79">
        <f t="shared" si="150"/>
        <v>0.25210364789349704</v>
      </c>
      <c r="J160" s="79">
        <f t="shared" si="150"/>
        <v>0.33341511731037232</v>
      </c>
      <c r="K160" s="56">
        <f t="shared" si="150"/>
        <v>0.26070453566937357</v>
      </c>
      <c r="L160" s="79">
        <f t="shared" si="150"/>
        <v>0.26709008840745413</v>
      </c>
      <c r="M160" s="79">
        <f t="shared" si="150"/>
        <v>0.27994630643276491</v>
      </c>
      <c r="N160" s="79">
        <f t="shared" si="150"/>
        <v>0.27341417790500505</v>
      </c>
      <c r="O160" s="79">
        <f t="shared" si="150"/>
        <v>0.2457684096504397</v>
      </c>
      <c r="P160" s="56">
        <f t="shared" si="150"/>
        <v>0.26272388837689842</v>
      </c>
      <c r="Q160" s="79">
        <f t="shared" si="150"/>
        <v>0.23673014759163419</v>
      </c>
      <c r="R160" s="79">
        <f t="shared" si="150"/>
        <v>0.24021938482497973</v>
      </c>
      <c r="S160" s="79">
        <f t="shared" si="150"/>
        <v>0.26327923945481446</v>
      </c>
      <c r="T160" s="79">
        <f t="shared" si="150"/>
        <v>0.21190349289992472</v>
      </c>
      <c r="U160" s="56">
        <f t="shared" si="150"/>
        <v>0.2417285314148927</v>
      </c>
      <c r="V160" s="79">
        <f t="shared" ref="V160" si="151">V88</f>
        <v>0.13679358855295262</v>
      </c>
    </row>
    <row r="161" spans="1:29" ht="15" customHeight="1">
      <c r="A161" t="s">
        <v>130</v>
      </c>
      <c r="D161" s="52">
        <f>D159*D160</f>
        <v>21.860955741750775</v>
      </c>
      <c r="E161" s="52">
        <f t="shared" ref="E161:U161" si="152">E159*E160</f>
        <v>29.178916792352055</v>
      </c>
      <c r="F161" s="52">
        <f t="shared" si="152"/>
        <v>39.382716638678012</v>
      </c>
      <c r="G161" s="63">
        <f t="shared" si="152"/>
        <v>7.2187604241632712</v>
      </c>
      <c r="H161" s="63">
        <f t="shared" si="152"/>
        <v>15.657334679156467</v>
      </c>
      <c r="I161" s="63">
        <f t="shared" si="152"/>
        <v>14.349233666076536</v>
      </c>
      <c r="J161" s="63">
        <f t="shared" si="152"/>
        <v>11.67485941334346</v>
      </c>
      <c r="K161" s="52">
        <f t="shared" si="152"/>
        <v>44.802593517512349</v>
      </c>
      <c r="L161" s="63">
        <f t="shared" si="152"/>
        <v>-5.0052655858548061</v>
      </c>
      <c r="M161" s="63">
        <f t="shared" si="152"/>
        <v>12.282922461366161</v>
      </c>
      <c r="N161" s="63">
        <f t="shared" si="152"/>
        <v>17.390236191712471</v>
      </c>
      <c r="O161" s="63">
        <f t="shared" si="152"/>
        <v>16.698985031708549</v>
      </c>
      <c r="P161" s="52">
        <f t="shared" si="152"/>
        <v>39.748554010743909</v>
      </c>
      <c r="Q161" s="63">
        <f t="shared" si="152"/>
        <v>5.6176054554288868</v>
      </c>
      <c r="R161" s="63">
        <f t="shared" si="152"/>
        <v>19.476747742443919</v>
      </c>
      <c r="S161" s="63">
        <f t="shared" si="152"/>
        <v>23.049830712399451</v>
      </c>
      <c r="T161" s="63">
        <f t="shared" si="152"/>
        <v>12.443818598020247</v>
      </c>
      <c r="U161" s="52">
        <f t="shared" si="152"/>
        <v>60.504407509059405</v>
      </c>
      <c r="V161" s="63">
        <f t="shared" ref="V161" si="153">V159*V160</f>
        <v>4.4886080211880399</v>
      </c>
    </row>
    <row r="162" spans="1:29" ht="15" customHeight="1">
      <c r="A162" t="s">
        <v>131</v>
      </c>
      <c r="D162" s="45">
        <f>D159-D161</f>
        <v>63.776060258249188</v>
      </c>
      <c r="E162" s="45">
        <f t="shared" ref="E162:U162" si="154">E159-E161</f>
        <v>84.553077207647902</v>
      </c>
      <c r="F162" s="45">
        <f t="shared" si="154"/>
        <v>133.20027036132205</v>
      </c>
      <c r="G162" s="77">
        <f t="shared" si="154"/>
        <v>24.840249575836737</v>
      </c>
      <c r="H162" s="77">
        <f t="shared" si="154"/>
        <v>48.113658320843555</v>
      </c>
      <c r="I162" s="77">
        <f t="shared" si="154"/>
        <v>42.568759333923488</v>
      </c>
      <c r="J162" s="77">
        <f t="shared" si="154"/>
        <v>23.341127586656505</v>
      </c>
      <c r="K162" s="45">
        <f t="shared" si="154"/>
        <v>127.04939748248759</v>
      </c>
      <c r="L162" s="77">
        <f t="shared" si="154"/>
        <v>-13.734724414145193</v>
      </c>
      <c r="M162" s="77">
        <f t="shared" si="154"/>
        <v>31.593071538633858</v>
      </c>
      <c r="N162" s="77">
        <f t="shared" si="154"/>
        <v>46.213766808287517</v>
      </c>
      <c r="O162" s="77">
        <f t="shared" si="154"/>
        <v>51.247033968291419</v>
      </c>
      <c r="P162" s="45">
        <f t="shared" si="154"/>
        <v>111.54546898925614</v>
      </c>
      <c r="Q162" s="77">
        <f t="shared" si="154"/>
        <v>18.112390544571106</v>
      </c>
      <c r="R162" s="77">
        <f t="shared" si="154"/>
        <v>61.602253257556086</v>
      </c>
      <c r="S162" s="77">
        <f t="shared" si="154"/>
        <v>64.499156287600599</v>
      </c>
      <c r="T162" s="77">
        <f t="shared" si="154"/>
        <v>46.280171401979743</v>
      </c>
      <c r="U162" s="45">
        <f t="shared" si="154"/>
        <v>189.79458349094043</v>
      </c>
      <c r="V162" s="77">
        <f t="shared" ref="V162" si="155">V159-V161</f>
        <v>28.324391978811999</v>
      </c>
    </row>
    <row r="163" spans="1:29" ht="15" customHeight="1" thickBot="1">
      <c r="A163" t="s">
        <v>393</v>
      </c>
      <c r="D163" s="45"/>
      <c r="E163" s="45"/>
      <c r="F163" s="45"/>
      <c r="G163" s="77"/>
      <c r="H163" s="77"/>
      <c r="I163" s="77"/>
      <c r="J163" s="77"/>
      <c r="K163" s="45"/>
      <c r="L163" s="77">
        <f>SUM(L162,H162:J162)</f>
        <v>100.28882082727836</v>
      </c>
      <c r="M163" s="77">
        <f>SUM(L162:M162,I162:J162)</f>
        <v>83.768234045068652</v>
      </c>
      <c r="N163" s="77">
        <f>SUM(L162:N162,J162)</f>
        <v>87.413241519432688</v>
      </c>
      <c r="O163" s="77">
        <f>SUM(L162:O162)</f>
        <v>115.31914790106759</v>
      </c>
      <c r="P163" s="45"/>
      <c r="Q163" s="77">
        <f>SUM(Q162,M162:O162)</f>
        <v>147.1662628597839</v>
      </c>
      <c r="R163" s="77">
        <f>SUM(Q162:R162,N162:O162)</f>
        <v>177.17544457870613</v>
      </c>
      <c r="S163" s="77">
        <f>SUM(Q162:S162,O162)</f>
        <v>195.4608340580192</v>
      </c>
      <c r="T163" s="77">
        <f>SUM(Q162:T162)</f>
        <v>190.49397149170753</v>
      </c>
      <c r="U163" s="45"/>
      <c r="V163" s="77">
        <f>V162+T162+S162+R162</f>
        <v>200.7059729259484</v>
      </c>
    </row>
    <row r="164" spans="1:29" s="12" customFormat="1" ht="15" customHeight="1" thickBot="1">
      <c r="A164" s="69" t="s">
        <v>121</v>
      </c>
      <c r="D164" s="74">
        <f>D162/D154</f>
        <v>3.8979468542236682E-2</v>
      </c>
      <c r="E164" s="74">
        <f t="shared" ref="E164:U164" si="156">E162/E154</f>
        <v>4.7298214648082489E-2</v>
      </c>
      <c r="F164" s="74">
        <f t="shared" si="156"/>
        <v>6.7575657816136558E-2</v>
      </c>
      <c r="G164" s="80"/>
      <c r="H164" s="80"/>
      <c r="I164" s="80"/>
      <c r="J164" s="80"/>
      <c r="K164" s="74">
        <f t="shared" si="156"/>
        <v>5.9207272820120546E-2</v>
      </c>
      <c r="L164" s="80">
        <f>L163/L154</f>
        <v>4.7484294485446714E-2</v>
      </c>
      <c r="M164" s="80">
        <f t="shared" ref="M164" si="157">M163/M154</f>
        <v>3.9270507122107244E-2</v>
      </c>
      <c r="N164" s="80">
        <f t="shared" ref="N164" si="158">N163/N154</f>
        <v>4.1022749041750114E-2</v>
      </c>
      <c r="O164" s="80">
        <f t="shared" ref="O164" si="159">O163/O154</f>
        <v>5.4896862369957819E-2</v>
      </c>
      <c r="P164" s="74">
        <f t="shared" si="156"/>
        <v>5.3100429291664079E-2</v>
      </c>
      <c r="Q164" s="80">
        <f>Q163/Q154</f>
        <v>7.1803551386585951E-2</v>
      </c>
      <c r="R164" s="80">
        <f t="shared" ref="R164:T164" si="160">R163/R154</f>
        <v>8.5504062729139282E-2</v>
      </c>
      <c r="S164" s="80">
        <f t="shared" si="160"/>
        <v>9.3711953127011055E-2</v>
      </c>
      <c r="T164" s="80">
        <f t="shared" si="160"/>
        <v>9.964997275735013E-2</v>
      </c>
      <c r="U164" s="74">
        <f t="shared" si="156"/>
        <v>9.9284113435516977E-2</v>
      </c>
      <c r="V164" s="80">
        <f>V163/V154</f>
        <v>0.1030385841194639</v>
      </c>
      <c r="W164" s="109"/>
      <c r="X164" s="109"/>
      <c r="Y164" s="109"/>
      <c r="Z164" s="100"/>
      <c r="AA164" s="100"/>
      <c r="AB164" s="100"/>
      <c r="AC164" s="100"/>
    </row>
    <row r="165" spans="1:29" s="73" customFormat="1" ht="15" customHeight="1" thickBot="1">
      <c r="A165" s="72" t="s">
        <v>132</v>
      </c>
      <c r="D165" s="75">
        <f>D162/D157</f>
        <v>0.18251509204654487</v>
      </c>
      <c r="E165" s="75">
        <f t="shared" ref="E165:U165" si="161">E162/E157</f>
        <v>0.15545847023718634</v>
      </c>
      <c r="F165" s="75">
        <f t="shared" si="161"/>
        <v>0.1713923102511698</v>
      </c>
      <c r="G165" s="81"/>
      <c r="H165" s="81"/>
      <c r="I165" s="81"/>
      <c r="J165" s="81"/>
      <c r="K165" s="75">
        <f t="shared" si="161"/>
        <v>0.14022941042390863</v>
      </c>
      <c r="L165" s="81">
        <f>L163/L157</f>
        <v>0.11344261308458992</v>
      </c>
      <c r="M165" s="81">
        <f t="shared" ref="M165:O165" si="162">M163/M157</f>
        <v>9.1392667914163783E-2</v>
      </c>
      <c r="N165" s="81">
        <f t="shared" si="162"/>
        <v>9.4409664370323415E-2</v>
      </c>
      <c r="O165" s="81">
        <f t="shared" si="162"/>
        <v>0.12715989691193558</v>
      </c>
      <c r="P165" s="75">
        <f t="shared" si="161"/>
        <v>0.12299874388454446</v>
      </c>
      <c r="Q165" s="81">
        <f>Q163/Q157</f>
        <v>0.16385524023387488</v>
      </c>
      <c r="R165" s="81">
        <f t="shared" ref="R165:T165" si="163">R163/R157</f>
        <v>0.19039228959563775</v>
      </c>
      <c r="S165" s="81">
        <f t="shared" si="163"/>
        <v>0.20491498375382541</v>
      </c>
      <c r="T165" s="81">
        <f t="shared" si="163"/>
        <v>0.2413463894396698</v>
      </c>
      <c r="U165" s="75">
        <f t="shared" si="161"/>
        <v>0.24046029962023466</v>
      </c>
      <c r="V165" s="81">
        <f>V163/V157</f>
        <v>0.24250776367366988</v>
      </c>
      <c r="W165" s="97"/>
      <c r="X165" s="97"/>
      <c r="Y165" s="97"/>
      <c r="Z165" s="98"/>
      <c r="AA165" s="98"/>
      <c r="AB165" s="98"/>
      <c r="AC165" s="98"/>
    </row>
    <row r="166" spans="1:29" ht="15" customHeight="1">
      <c r="A166" s="11"/>
      <c r="D166" s="56"/>
      <c r="E166" s="56"/>
      <c r="F166" s="56"/>
      <c r="G166" s="79"/>
      <c r="H166" s="79"/>
      <c r="I166" s="79"/>
      <c r="J166" s="79"/>
      <c r="K166" s="56"/>
      <c r="L166" s="79"/>
      <c r="M166" s="79"/>
      <c r="N166" s="79"/>
      <c r="O166" s="79"/>
      <c r="P166" s="56"/>
      <c r="Q166" s="79"/>
      <c r="R166" s="79"/>
      <c r="S166" s="79"/>
      <c r="T166" s="79"/>
      <c r="U166" s="56"/>
    </row>
    <row r="168" spans="1:29" s="53" customFormat="1" ht="15" customHeight="1">
      <c r="A168" s="54" t="s">
        <v>133</v>
      </c>
      <c r="W168" s="112"/>
      <c r="X168" s="112"/>
      <c r="Y168" s="112"/>
      <c r="Z168" s="112"/>
      <c r="AA168" s="112"/>
      <c r="AB168" s="112"/>
      <c r="AC168" s="112"/>
    </row>
    <row r="169" spans="1:29" ht="5" customHeight="1">
      <c r="A169" s="11"/>
    </row>
    <row r="170" spans="1:29" ht="15" customHeight="1">
      <c r="A170" s="82" t="s">
        <v>142</v>
      </c>
      <c r="B170" s="90"/>
      <c r="C170" s="90"/>
      <c r="D170" s="90"/>
      <c r="E170" s="90"/>
      <c r="F170" s="90"/>
      <c r="K170" s="90"/>
      <c r="P170" s="90"/>
      <c r="U170" s="90"/>
    </row>
    <row r="171" spans="1:29" ht="15" customHeight="1">
      <c r="A171" s="85" t="s">
        <v>143</v>
      </c>
      <c r="B171" s="91">
        <v>-67.411000000000001</v>
      </c>
      <c r="C171" s="91">
        <v>6.7450000000000001</v>
      </c>
      <c r="D171" s="91">
        <v>-20.196000000000002</v>
      </c>
      <c r="E171" s="91">
        <v>-122.233</v>
      </c>
      <c r="F171" s="91">
        <v>93.15</v>
      </c>
      <c r="G171" s="63">
        <v>16.707000000000001</v>
      </c>
      <c r="H171" s="63">
        <v>35.817999999999998</v>
      </c>
      <c r="I171" s="63">
        <v>27.475999999999999</v>
      </c>
      <c r="J171" s="63">
        <v>-12.843</v>
      </c>
      <c r="K171" s="91">
        <v>67.158000000000001</v>
      </c>
      <c r="L171" s="63">
        <v>-29.734999999999999</v>
      </c>
      <c r="M171" s="63">
        <v>18.225000000000001</v>
      </c>
      <c r="N171" s="63">
        <v>34.64</v>
      </c>
      <c r="O171" s="63">
        <v>39.231000000000002</v>
      </c>
      <c r="P171" s="91">
        <v>62.360999999999997</v>
      </c>
      <c r="Q171" s="63">
        <v>25.148</v>
      </c>
      <c r="R171" s="63">
        <v>49.758000000000003</v>
      </c>
      <c r="S171" s="63">
        <v>50.11</v>
      </c>
      <c r="T171" s="63">
        <v>28.363</v>
      </c>
      <c r="U171" s="91">
        <v>153.37899999999999</v>
      </c>
      <c r="V171" s="63">
        <v>18.123999999999999</v>
      </c>
    </row>
    <row r="172" spans="1:29" ht="15" customHeight="1">
      <c r="A172" s="84" t="s">
        <v>144</v>
      </c>
      <c r="B172" s="91">
        <v>77.656999999999996</v>
      </c>
      <c r="C172" s="91">
        <v>77.665000000000006</v>
      </c>
      <c r="D172" s="91">
        <v>93.929000000000002</v>
      </c>
      <c r="E172" s="91">
        <v>99.781000000000006</v>
      </c>
      <c r="F172" s="91">
        <v>101.51600000000001</v>
      </c>
      <c r="G172" s="63">
        <v>28.042999999999999</v>
      </c>
      <c r="H172" s="63">
        <v>29.013000000000002</v>
      </c>
      <c r="I172" s="63">
        <v>29.456</v>
      </c>
      <c r="J172" s="63">
        <v>32.021000000000001</v>
      </c>
      <c r="K172" s="91">
        <v>118.533</v>
      </c>
      <c r="L172" s="63">
        <v>33.039000000000001</v>
      </c>
      <c r="M172" s="63">
        <v>32.436</v>
      </c>
      <c r="N172" s="63">
        <v>33.064</v>
      </c>
      <c r="O172" s="63">
        <v>34.005000000000003</v>
      </c>
      <c r="P172" s="91">
        <v>132.54400000000001</v>
      </c>
      <c r="Q172" s="63">
        <v>31.937000000000001</v>
      </c>
      <c r="R172" s="63">
        <v>32.204000000000001</v>
      </c>
      <c r="S172" s="63">
        <v>31.87</v>
      </c>
      <c r="T172" s="63">
        <v>32.94</v>
      </c>
      <c r="U172" s="91">
        <v>128.95099999999999</v>
      </c>
      <c r="V172" s="63">
        <v>33.055</v>
      </c>
    </row>
    <row r="173" spans="1:29" ht="15" customHeight="1">
      <c r="A173" s="83" t="s">
        <v>145</v>
      </c>
      <c r="B173" s="91">
        <v>30.044</v>
      </c>
      <c r="C173" s="91">
        <v>26.292999999999999</v>
      </c>
      <c r="D173" s="91">
        <v>33.703000000000003</v>
      </c>
      <c r="E173" s="91">
        <v>44.637</v>
      </c>
      <c r="F173" s="91">
        <v>51.713999999999999</v>
      </c>
      <c r="G173" s="63">
        <v>15.163</v>
      </c>
      <c r="H173" s="63">
        <v>16.449000000000002</v>
      </c>
      <c r="I173" s="63">
        <v>16.934000000000001</v>
      </c>
      <c r="J173" s="63">
        <v>19.45</v>
      </c>
      <c r="K173" s="91">
        <v>67.995999999999995</v>
      </c>
      <c r="L173" s="63">
        <v>21.202000000000002</v>
      </c>
      <c r="M173" s="63">
        <v>20.815999999999999</v>
      </c>
      <c r="N173" s="63">
        <v>21.486000000000001</v>
      </c>
      <c r="O173" s="63">
        <v>22.702000000000002</v>
      </c>
      <c r="P173" s="91">
        <v>86.206000000000003</v>
      </c>
      <c r="Q173" s="63">
        <v>21.773</v>
      </c>
      <c r="R173" s="63">
        <v>22.332000000000001</v>
      </c>
      <c r="S173" s="63">
        <v>22.03</v>
      </c>
      <c r="T173" s="63">
        <v>23.385999999999999</v>
      </c>
      <c r="U173" s="91">
        <v>89.521000000000001</v>
      </c>
      <c r="V173" s="63">
        <v>24.332000000000001</v>
      </c>
    </row>
    <row r="174" spans="1:29" ht="15" customHeight="1">
      <c r="A174" s="83" t="s">
        <v>146</v>
      </c>
      <c r="B174" s="91">
        <v>47.613</v>
      </c>
      <c r="C174" s="91">
        <v>51.372</v>
      </c>
      <c r="D174" s="91">
        <v>60.225999999999999</v>
      </c>
      <c r="E174" s="91">
        <v>55.143999999999998</v>
      </c>
      <c r="F174" s="91">
        <v>49.802</v>
      </c>
      <c r="G174" s="63">
        <v>12.88</v>
      </c>
      <c r="H174" s="63">
        <v>12.564</v>
      </c>
      <c r="I174" s="63">
        <v>12.522</v>
      </c>
      <c r="J174" s="63">
        <v>12.571</v>
      </c>
      <c r="K174" s="91">
        <v>50.536999999999999</v>
      </c>
      <c r="L174" s="63">
        <v>11.837</v>
      </c>
      <c r="M174" s="63">
        <v>11.62</v>
      </c>
      <c r="N174" s="63">
        <v>11.577999999999999</v>
      </c>
      <c r="O174" s="63">
        <v>11.303000000000001</v>
      </c>
      <c r="P174" s="91">
        <v>46.338000000000001</v>
      </c>
      <c r="Q174" s="63">
        <v>10.164</v>
      </c>
      <c r="R174" s="63">
        <v>9.8719999999999999</v>
      </c>
      <c r="S174" s="63">
        <v>9.84</v>
      </c>
      <c r="T174" s="63">
        <v>9.5540000000000003</v>
      </c>
      <c r="U174" s="91">
        <v>39.43</v>
      </c>
      <c r="V174" s="63">
        <v>8.7230000000000008</v>
      </c>
    </row>
    <row r="175" spans="1:29" ht="15" customHeight="1">
      <c r="A175" s="84" t="s">
        <v>147</v>
      </c>
      <c r="B175" s="91">
        <v>-20.907</v>
      </c>
      <c r="C175" s="91">
        <v>-24.125</v>
      </c>
      <c r="D175" s="91">
        <v>-5.3209999999999997</v>
      </c>
      <c r="E175" s="91">
        <v>-10.11</v>
      </c>
      <c r="F175" s="91">
        <v>25.529</v>
      </c>
      <c r="G175" s="63">
        <v>4.3810000000000002</v>
      </c>
      <c r="H175" s="63">
        <v>10.750999999999999</v>
      </c>
      <c r="I175" s="63">
        <v>6.3879999999999999</v>
      </c>
      <c r="J175" s="63">
        <v>1.8740000000000001</v>
      </c>
      <c r="K175" s="91">
        <v>23.393999999999998</v>
      </c>
      <c r="L175" s="63">
        <v>1.504</v>
      </c>
      <c r="M175" s="63">
        <v>-1.0389999999999999</v>
      </c>
      <c r="N175" s="63">
        <v>1.1339999999999999</v>
      </c>
      <c r="O175" s="63">
        <v>-10.178000000000001</v>
      </c>
      <c r="P175" s="91">
        <v>-8.5790000000000006</v>
      </c>
      <c r="Q175" s="63">
        <v>-8.1920000000000002</v>
      </c>
      <c r="R175" s="63">
        <v>-1.5249999999999999</v>
      </c>
      <c r="S175" s="63">
        <v>-2.5670000000000002</v>
      </c>
      <c r="T175" s="63">
        <v>-9.1739999999999995</v>
      </c>
      <c r="U175" s="91">
        <v>-21.457999999999998</v>
      </c>
      <c r="V175" s="63">
        <v>-0.193</v>
      </c>
    </row>
    <row r="176" spans="1:29" ht="15" customHeight="1">
      <c r="A176" s="83" t="s">
        <v>148</v>
      </c>
      <c r="B176" s="91">
        <v>-20.907</v>
      </c>
      <c r="C176" s="91">
        <v>-24.125</v>
      </c>
      <c r="D176" s="91">
        <v>-5.3209999999999997</v>
      </c>
      <c r="E176" s="91">
        <v>-10.11</v>
      </c>
      <c r="F176" s="91">
        <v>25.529</v>
      </c>
      <c r="G176" s="63">
        <v>4.3810000000000002</v>
      </c>
      <c r="H176" s="63">
        <v>10.750999999999999</v>
      </c>
      <c r="I176" s="63">
        <v>6.3879999999999999</v>
      </c>
      <c r="J176" s="63">
        <v>1.8740000000000001</v>
      </c>
      <c r="K176" s="91">
        <v>23.393999999999998</v>
      </c>
      <c r="L176" s="63">
        <v>1.504</v>
      </c>
      <c r="M176" s="63">
        <v>-1.0389999999999999</v>
      </c>
      <c r="N176" s="63">
        <v>1.1339999999999999</v>
      </c>
      <c r="O176" s="63">
        <v>-10.178000000000001</v>
      </c>
      <c r="P176" s="91">
        <v>-8.5790000000000006</v>
      </c>
      <c r="Q176" s="63">
        <v>-8.1920000000000002</v>
      </c>
      <c r="R176" s="63">
        <v>-1.5249999999999999</v>
      </c>
      <c r="S176" s="63">
        <v>-2.5670000000000002</v>
      </c>
      <c r="T176" s="63">
        <v>-9.1739999999999995</v>
      </c>
      <c r="U176" s="91">
        <v>-21.457999999999998</v>
      </c>
      <c r="V176" s="63">
        <v>-0.193</v>
      </c>
    </row>
    <row r="177" spans="1:22" ht="15" customHeight="1">
      <c r="A177" s="85" t="s">
        <v>149</v>
      </c>
      <c r="B177" s="91">
        <v>50.155999999999999</v>
      </c>
      <c r="C177" s="91">
        <v>5.8620000000000001</v>
      </c>
      <c r="D177" s="91">
        <v>10.098000000000001</v>
      </c>
      <c r="E177" s="91">
        <v>163.08099999999999</v>
      </c>
      <c r="F177" s="91">
        <v>25.788</v>
      </c>
      <c r="G177" s="63">
        <v>5.1420000000000003</v>
      </c>
      <c r="H177" s="63">
        <v>9.4290000000000003</v>
      </c>
      <c r="I177" s="63">
        <v>6.048</v>
      </c>
      <c r="J177" s="63">
        <v>13.042</v>
      </c>
      <c r="K177" s="91">
        <v>33.661000000000001</v>
      </c>
      <c r="L177" s="63">
        <v>6.4909999999999997</v>
      </c>
      <c r="M177" s="63">
        <v>9.1129999999999995</v>
      </c>
      <c r="N177" s="63">
        <v>1.2210000000000001</v>
      </c>
      <c r="O177" s="63">
        <v>6.04</v>
      </c>
      <c r="P177" s="91">
        <v>22.864999999999998</v>
      </c>
      <c r="Q177" s="63">
        <v>-27.544</v>
      </c>
      <c r="R177" s="63">
        <v>6.7679999999999998</v>
      </c>
      <c r="S177" s="63">
        <v>6.2530000000000001</v>
      </c>
      <c r="T177" s="63">
        <v>6.2240000000000002</v>
      </c>
      <c r="U177" s="91">
        <v>-8.2989999999999995</v>
      </c>
      <c r="V177" s="63">
        <v>6.7119999999999997</v>
      </c>
    </row>
    <row r="178" spans="1:22" ht="15" customHeight="1">
      <c r="A178" s="85" t="s">
        <v>150</v>
      </c>
      <c r="B178" s="91">
        <v>39.494999999999997</v>
      </c>
      <c r="C178" s="91">
        <v>66.147000000000006</v>
      </c>
      <c r="D178" s="91">
        <v>78.510000000000005</v>
      </c>
      <c r="E178" s="91">
        <v>130.51900000000001</v>
      </c>
      <c r="F178" s="91">
        <v>245.983</v>
      </c>
      <c r="G178" s="63">
        <v>54.273000000000003</v>
      </c>
      <c r="H178" s="63">
        <v>85.010999999999996</v>
      </c>
      <c r="I178" s="63">
        <v>69.367999999999995</v>
      </c>
      <c r="J178" s="63">
        <v>34.094000000000001</v>
      </c>
      <c r="K178" s="91">
        <v>242.74600000000001</v>
      </c>
      <c r="L178" s="63">
        <v>11.298999999999999</v>
      </c>
      <c r="M178" s="63">
        <v>58.734999999999999</v>
      </c>
      <c r="N178" s="63">
        <v>70.058999999999997</v>
      </c>
      <c r="O178" s="63">
        <v>69.097999999999999</v>
      </c>
      <c r="P178" s="91">
        <v>209.191</v>
      </c>
      <c r="Q178" s="63">
        <v>21.349</v>
      </c>
      <c r="R178" s="63">
        <v>87.204999999999998</v>
      </c>
      <c r="S178" s="63">
        <v>85.665999999999997</v>
      </c>
      <c r="T178" s="63">
        <v>58.353000000000002</v>
      </c>
      <c r="U178" s="91">
        <v>252.57300000000001</v>
      </c>
      <c r="V178" s="63">
        <v>57.698</v>
      </c>
    </row>
    <row r="179" spans="1:22" ht="15" customHeight="1">
      <c r="A179" s="84" t="s">
        <v>151</v>
      </c>
      <c r="B179" s="91">
        <v>15.287000000000001</v>
      </c>
      <c r="C179" s="91">
        <v>1.155</v>
      </c>
      <c r="D179" s="91">
        <v>16.361999999999998</v>
      </c>
      <c r="E179" s="91">
        <v>-32.158000000000001</v>
      </c>
      <c r="F179" s="91">
        <v>-39.243000000000002</v>
      </c>
      <c r="G179" s="63">
        <v>-84.893000000000001</v>
      </c>
      <c r="H179" s="63">
        <v>-121.934</v>
      </c>
      <c r="I179" s="63">
        <v>60.433</v>
      </c>
      <c r="J179" s="63">
        <v>9.4830000000000005</v>
      </c>
      <c r="K179" s="91">
        <v>-136.911</v>
      </c>
      <c r="L179" s="63">
        <v>-4.8899999999999997</v>
      </c>
      <c r="M179" s="63">
        <v>-1.002</v>
      </c>
      <c r="N179" s="63">
        <v>101.69199999999999</v>
      </c>
      <c r="O179" s="63">
        <v>57.551000000000002</v>
      </c>
      <c r="P179" s="91">
        <v>153.351</v>
      </c>
      <c r="Q179" s="63">
        <v>-37.637</v>
      </c>
      <c r="R179" s="63">
        <v>-102.011</v>
      </c>
      <c r="S179" s="63">
        <v>109.40900000000001</v>
      </c>
      <c r="T179" s="63">
        <v>2.145</v>
      </c>
      <c r="U179" s="91">
        <v>-28.094000000000001</v>
      </c>
      <c r="V179" s="63">
        <v>-44.133000000000003</v>
      </c>
    </row>
    <row r="180" spans="1:22" ht="15" customHeight="1">
      <c r="A180" s="83" t="s">
        <v>152</v>
      </c>
      <c r="B180" s="91">
        <v>2.99</v>
      </c>
      <c r="C180" s="91">
        <v>2.387</v>
      </c>
      <c r="D180" s="91">
        <v>-8.6319999999999997</v>
      </c>
      <c r="E180" s="91">
        <v>-17.655999999999999</v>
      </c>
      <c r="F180" s="91">
        <v>-6.7720000000000002</v>
      </c>
      <c r="G180" s="63">
        <v>18.056999999999999</v>
      </c>
      <c r="H180" s="63">
        <v>-108.628</v>
      </c>
      <c r="I180" s="63">
        <v>70.171999999999997</v>
      </c>
      <c r="J180" s="63">
        <v>11.853999999999999</v>
      </c>
      <c r="K180" s="91">
        <v>-8.5449999999999999</v>
      </c>
      <c r="L180" s="63">
        <v>21.869</v>
      </c>
      <c r="M180" s="63">
        <v>-84.454999999999998</v>
      </c>
      <c r="N180" s="63">
        <v>78.027000000000001</v>
      </c>
      <c r="O180" s="63">
        <v>16.327000000000002</v>
      </c>
      <c r="P180" s="91">
        <v>31.768000000000001</v>
      </c>
      <c r="Q180" s="63">
        <v>21.151</v>
      </c>
      <c r="R180" s="63">
        <v>-101.98</v>
      </c>
      <c r="S180" s="63">
        <v>68.572999999999993</v>
      </c>
      <c r="T180" s="63">
        <v>18.527999999999999</v>
      </c>
      <c r="U180" s="91">
        <v>6.2720000000000002</v>
      </c>
      <c r="V180" s="63">
        <v>16.242000000000001</v>
      </c>
    </row>
    <row r="181" spans="1:22" ht="15" customHeight="1">
      <c r="A181" s="83" t="s">
        <v>108</v>
      </c>
      <c r="B181" s="91">
        <v>-7.9690000000000003</v>
      </c>
      <c r="C181" s="91">
        <v>0.95299999999999996</v>
      </c>
      <c r="D181" s="91">
        <v>-4.492</v>
      </c>
      <c r="E181" s="91">
        <v>-12.146000000000001</v>
      </c>
      <c r="F181" s="91">
        <v>-58.819000000000003</v>
      </c>
      <c r="G181" s="63">
        <v>-88.515000000000001</v>
      </c>
      <c r="H181" s="63">
        <v>-10.101000000000001</v>
      </c>
      <c r="I181" s="63">
        <v>-22.957999999999998</v>
      </c>
      <c r="J181" s="63">
        <v>34.770000000000003</v>
      </c>
      <c r="K181" s="91">
        <v>-86.804000000000002</v>
      </c>
      <c r="L181" s="63">
        <v>-14.786</v>
      </c>
      <c r="M181" s="63">
        <v>66.356999999999999</v>
      </c>
      <c r="N181" s="63">
        <v>31.83</v>
      </c>
      <c r="O181" s="63">
        <v>2.6720000000000002</v>
      </c>
      <c r="P181" s="91">
        <v>86.072999999999993</v>
      </c>
      <c r="Q181" s="63">
        <v>-61.344000000000001</v>
      </c>
      <c r="R181" s="63">
        <v>21.573</v>
      </c>
      <c r="S181" s="63">
        <v>11.742000000000001</v>
      </c>
      <c r="T181" s="63">
        <v>-19.507000000000001</v>
      </c>
      <c r="U181" s="91">
        <v>-47.536000000000001</v>
      </c>
      <c r="V181" s="63">
        <v>-33.073</v>
      </c>
    </row>
    <row r="182" spans="1:22" ht="15" customHeight="1">
      <c r="A182" s="83" t="s">
        <v>153</v>
      </c>
      <c r="B182" s="91">
        <v>5.383</v>
      </c>
      <c r="C182" s="91">
        <v>4.3979999999999997</v>
      </c>
      <c r="D182" s="91">
        <v>11.679</v>
      </c>
      <c r="E182" s="91">
        <v>-4.3609999999999998</v>
      </c>
      <c r="F182" s="91">
        <v>16.071000000000002</v>
      </c>
      <c r="G182" s="63">
        <v>0.60599999999999998</v>
      </c>
      <c r="H182" s="63">
        <v>11.606999999999999</v>
      </c>
      <c r="I182" s="63">
        <v>-7.7009999999999996</v>
      </c>
      <c r="J182" s="63">
        <v>-36.658000000000001</v>
      </c>
      <c r="K182" s="91">
        <v>-32.146000000000001</v>
      </c>
      <c r="L182" s="63">
        <v>13.029</v>
      </c>
      <c r="M182" s="63">
        <v>2.673</v>
      </c>
      <c r="N182" s="63">
        <v>-4.3940000000000001</v>
      </c>
      <c r="O182" s="63">
        <v>11.288</v>
      </c>
      <c r="P182" s="91">
        <v>22.596</v>
      </c>
      <c r="Q182" s="63">
        <v>-9.3190000000000008</v>
      </c>
      <c r="R182" s="63">
        <v>7.4530000000000003</v>
      </c>
      <c r="S182" s="63">
        <v>7.5620000000000003</v>
      </c>
      <c r="T182" s="63">
        <v>-9.14</v>
      </c>
      <c r="U182" s="91">
        <v>-3.444</v>
      </c>
      <c r="V182" s="63">
        <v>-5.5149999999999997</v>
      </c>
    </row>
    <row r="183" spans="1:22" ht="15" customHeight="1">
      <c r="A183" s="83" t="s">
        <v>154</v>
      </c>
      <c r="B183" s="91">
        <v>19.7</v>
      </c>
      <c r="C183" s="91">
        <v>-12.839</v>
      </c>
      <c r="D183" s="91">
        <v>20.376000000000001</v>
      </c>
      <c r="E183" s="91">
        <v>2.6640000000000001</v>
      </c>
      <c r="F183" s="91">
        <v>14.91</v>
      </c>
      <c r="G183" s="63">
        <v>-11.625999999999999</v>
      </c>
      <c r="H183" s="63">
        <v>-10.667999999999999</v>
      </c>
      <c r="I183" s="63">
        <v>18.561</v>
      </c>
      <c r="J183" s="63">
        <v>2.3879999999999999</v>
      </c>
      <c r="K183" s="91">
        <v>-1.345</v>
      </c>
      <c r="L183" s="63">
        <v>-7.8310000000000004</v>
      </c>
      <c r="M183" s="63">
        <v>16.361000000000001</v>
      </c>
      <c r="N183" s="63">
        <v>-14.333</v>
      </c>
      <c r="O183" s="63">
        <v>17.693000000000001</v>
      </c>
      <c r="P183" s="91">
        <v>11.89</v>
      </c>
      <c r="Q183" s="63">
        <v>15.125</v>
      </c>
      <c r="R183" s="63">
        <v>-21.408000000000001</v>
      </c>
      <c r="S183" s="63">
        <v>20.731000000000002</v>
      </c>
      <c r="T183" s="63">
        <v>9.4359999999999999</v>
      </c>
      <c r="U183" s="91">
        <v>23.884</v>
      </c>
      <c r="V183" s="63">
        <v>-17.77</v>
      </c>
    </row>
    <row r="184" spans="1:22" ht="15" customHeight="1">
      <c r="A184" s="83" t="s">
        <v>155</v>
      </c>
      <c r="B184" s="91">
        <v>-4.8170000000000002</v>
      </c>
      <c r="C184" s="91">
        <v>6.2560000000000002</v>
      </c>
      <c r="D184" s="91">
        <v>-2.569</v>
      </c>
      <c r="E184" s="91">
        <v>-0.65900000000000003</v>
      </c>
      <c r="F184" s="91">
        <v>-4.633</v>
      </c>
      <c r="G184" s="63">
        <v>-3.415</v>
      </c>
      <c r="H184" s="63">
        <v>-4.1440000000000001</v>
      </c>
      <c r="I184" s="63">
        <v>2.359</v>
      </c>
      <c r="J184" s="63">
        <v>-2.871</v>
      </c>
      <c r="K184" s="91">
        <v>-8.0709999999999997</v>
      </c>
      <c r="L184" s="63">
        <v>-17.170999999999999</v>
      </c>
      <c r="M184" s="63">
        <v>-1.9379999999999999</v>
      </c>
      <c r="N184" s="63">
        <v>10.561999999999999</v>
      </c>
      <c r="O184" s="63">
        <v>9.5709999999999997</v>
      </c>
      <c r="P184" s="91">
        <v>1.024</v>
      </c>
      <c r="Q184" s="63">
        <v>-3.25</v>
      </c>
      <c r="R184" s="63">
        <v>-7.649</v>
      </c>
      <c r="S184" s="63">
        <v>0.80100000000000005</v>
      </c>
      <c r="T184" s="63">
        <v>2.8279999999999998</v>
      </c>
      <c r="U184" s="91">
        <v>-7.27</v>
      </c>
      <c r="V184" s="63">
        <v>-4.0170000000000003</v>
      </c>
    </row>
    <row r="185" spans="1:22" ht="15" customHeight="1">
      <c r="A185" s="85" t="s">
        <v>156</v>
      </c>
      <c r="B185" s="91">
        <v>54.781999999999996</v>
      </c>
      <c r="C185" s="91">
        <v>67.302000000000007</v>
      </c>
      <c r="D185" s="91">
        <v>94.872</v>
      </c>
      <c r="E185" s="91">
        <v>98.361000000000004</v>
      </c>
      <c r="F185" s="91">
        <v>206.74</v>
      </c>
      <c r="G185" s="63">
        <v>-30.62</v>
      </c>
      <c r="H185" s="63">
        <v>-36.923000000000002</v>
      </c>
      <c r="I185" s="63">
        <v>129.80099999999999</v>
      </c>
      <c r="J185" s="63">
        <v>43.576999999999998</v>
      </c>
      <c r="K185" s="91">
        <v>105.83499999999999</v>
      </c>
      <c r="L185" s="63">
        <v>6.4089999999999998</v>
      </c>
      <c r="M185" s="63">
        <v>57.732999999999997</v>
      </c>
      <c r="N185" s="63">
        <v>171.751</v>
      </c>
      <c r="O185" s="63">
        <v>126.649</v>
      </c>
      <c r="P185" s="91">
        <v>362.54199999999997</v>
      </c>
      <c r="Q185" s="63">
        <v>-16.288</v>
      </c>
      <c r="R185" s="63">
        <v>-14.805999999999999</v>
      </c>
      <c r="S185" s="63">
        <v>195.07499999999999</v>
      </c>
      <c r="T185" s="63">
        <v>60.497999999999998</v>
      </c>
      <c r="U185" s="91">
        <v>224.47900000000001</v>
      </c>
      <c r="V185" s="63">
        <v>13.565</v>
      </c>
    </row>
    <row r="186" spans="1:22" ht="15" customHeight="1">
      <c r="A186" s="82" t="s">
        <v>157</v>
      </c>
      <c r="B186" s="82"/>
      <c r="C186" s="82"/>
      <c r="D186" s="82"/>
      <c r="E186" s="82"/>
      <c r="F186" s="82"/>
      <c r="G186" s="63"/>
      <c r="H186" s="63"/>
      <c r="I186" s="63"/>
      <c r="J186" s="63"/>
      <c r="K186" s="82"/>
      <c r="L186" s="63"/>
      <c r="M186" s="63"/>
      <c r="N186" s="63"/>
      <c r="O186" s="63"/>
      <c r="P186" s="82"/>
      <c r="Q186" s="63"/>
      <c r="R186" s="63"/>
      <c r="S186" s="63"/>
      <c r="T186" s="63"/>
      <c r="U186" s="82"/>
      <c r="V186" s="63"/>
    </row>
    <row r="187" spans="1:22" ht="15" customHeight="1">
      <c r="A187" s="84" t="s">
        <v>158</v>
      </c>
      <c r="B187" s="91">
        <v>-22.510999999999999</v>
      </c>
      <c r="C187" s="91">
        <v>-42.758000000000003</v>
      </c>
      <c r="D187" s="91">
        <v>-63.006</v>
      </c>
      <c r="E187" s="91">
        <v>-95.593999999999994</v>
      </c>
      <c r="F187" s="91">
        <v>-175.119</v>
      </c>
      <c r="G187" s="63">
        <v>-65.332999999999998</v>
      </c>
      <c r="H187" s="63">
        <v>-48.661999999999999</v>
      </c>
      <c r="I187" s="63">
        <v>-25.495999999999999</v>
      </c>
      <c r="J187" s="63">
        <v>-32.947000000000003</v>
      </c>
      <c r="K187" s="91">
        <v>-172.43799999999999</v>
      </c>
      <c r="L187" s="63">
        <v>-30.327999999999999</v>
      </c>
      <c r="M187" s="63">
        <v>-16.956</v>
      </c>
      <c r="N187" s="63">
        <v>-6.7750000000000004</v>
      </c>
      <c r="O187" s="63">
        <v>-34.485999999999997</v>
      </c>
      <c r="P187" s="91">
        <v>-88.545000000000002</v>
      </c>
      <c r="Q187" s="63">
        <v>-17.681000000000001</v>
      </c>
      <c r="R187" s="63">
        <v>-19.198</v>
      </c>
      <c r="S187" s="63">
        <v>-17.553999999999998</v>
      </c>
      <c r="T187" s="63">
        <v>-22.713999999999999</v>
      </c>
      <c r="U187" s="91">
        <v>-77.147000000000006</v>
      </c>
      <c r="V187" s="63">
        <v>-21.596</v>
      </c>
    </row>
    <row r="188" spans="1:22" ht="15" customHeight="1">
      <c r="A188" s="83" t="s">
        <v>159</v>
      </c>
      <c r="B188" s="91">
        <v>-22.510999999999999</v>
      </c>
      <c r="C188" s="91">
        <v>-42.758000000000003</v>
      </c>
      <c r="D188" s="91">
        <v>-63.006</v>
      </c>
      <c r="E188" s="91">
        <v>-95.593999999999994</v>
      </c>
      <c r="F188" s="91">
        <v>-175.119</v>
      </c>
      <c r="G188" s="63">
        <v>-65.332999999999998</v>
      </c>
      <c r="H188" s="63">
        <v>-48.661999999999999</v>
      </c>
      <c r="I188" s="63">
        <v>-25.495999999999999</v>
      </c>
      <c r="J188" s="63">
        <v>-31.446999999999999</v>
      </c>
      <c r="K188" s="91">
        <v>-170.93799999999999</v>
      </c>
      <c r="L188" s="63">
        <v>-30.327999999999999</v>
      </c>
      <c r="M188" s="63">
        <v>-16.956</v>
      </c>
      <c r="N188" s="63">
        <v>-6.7750000000000004</v>
      </c>
      <c r="O188" s="63">
        <v>-34.485999999999997</v>
      </c>
      <c r="P188" s="91">
        <v>-88.545000000000002</v>
      </c>
      <c r="Q188" s="63">
        <v>-17.681000000000001</v>
      </c>
      <c r="R188" s="63">
        <v>-19.198</v>
      </c>
      <c r="S188" s="63">
        <v>-17.553999999999998</v>
      </c>
      <c r="T188" s="63">
        <v>-22.713999999999999</v>
      </c>
      <c r="U188" s="91">
        <v>-77.147000000000006</v>
      </c>
      <c r="V188" s="63">
        <v>-21.596</v>
      </c>
    </row>
    <row r="189" spans="1:22" ht="15" customHeight="1">
      <c r="A189" s="83" t="s">
        <v>160</v>
      </c>
      <c r="B189" s="91">
        <v>0</v>
      </c>
      <c r="C189" s="91">
        <v>0</v>
      </c>
      <c r="D189" s="91">
        <v>0</v>
      </c>
      <c r="E189" s="91">
        <v>0</v>
      </c>
      <c r="F189" s="91">
        <v>0</v>
      </c>
      <c r="G189" s="63"/>
      <c r="H189" s="63"/>
      <c r="I189" s="63">
        <v>0</v>
      </c>
      <c r="J189" s="63">
        <v>-1.5</v>
      </c>
      <c r="K189" s="91">
        <v>-1.5</v>
      </c>
      <c r="L189" s="63">
        <v>0</v>
      </c>
      <c r="M189" s="63">
        <v>0</v>
      </c>
      <c r="N189" s="63">
        <v>0</v>
      </c>
      <c r="O189" s="63">
        <v>0</v>
      </c>
      <c r="P189" s="91">
        <v>0</v>
      </c>
      <c r="Q189" s="63">
        <v>0</v>
      </c>
      <c r="R189" s="63">
        <v>0</v>
      </c>
      <c r="S189" s="63">
        <v>0</v>
      </c>
      <c r="T189" s="63">
        <v>0</v>
      </c>
      <c r="U189" s="91">
        <v>0</v>
      </c>
      <c r="V189" s="63">
        <v>0</v>
      </c>
    </row>
    <row r="190" spans="1:22" ht="15" customHeight="1">
      <c r="A190" s="85" t="s">
        <v>161</v>
      </c>
      <c r="B190" s="91">
        <v>0</v>
      </c>
      <c r="C190" s="91">
        <v>-292.98399999999998</v>
      </c>
      <c r="D190" s="91">
        <v>0</v>
      </c>
      <c r="E190" s="91">
        <v>-18.452999999999999</v>
      </c>
      <c r="F190" s="91">
        <v>0</v>
      </c>
      <c r="G190" s="63">
        <v>-91.31</v>
      </c>
      <c r="H190" s="63">
        <v>4.375</v>
      </c>
      <c r="I190" s="63">
        <v>0</v>
      </c>
      <c r="J190" s="63">
        <v>-21.452000000000002</v>
      </c>
      <c r="K190" s="91">
        <v>-108.387</v>
      </c>
      <c r="L190" s="63">
        <v>0</v>
      </c>
      <c r="M190" s="63">
        <v>-0.161</v>
      </c>
      <c r="N190" s="63">
        <v>0</v>
      </c>
      <c r="O190" s="63">
        <v>0</v>
      </c>
      <c r="P190" s="91">
        <v>-0.161</v>
      </c>
      <c r="Q190" s="63">
        <v>0</v>
      </c>
      <c r="R190" s="63">
        <v>0</v>
      </c>
      <c r="S190" s="63">
        <v>-5.9619999999999997</v>
      </c>
      <c r="T190" s="63">
        <v>-8.9999999999999993E-3</v>
      </c>
      <c r="U190" s="91">
        <v>-5.9710000000000001</v>
      </c>
      <c r="V190" s="63">
        <v>-11</v>
      </c>
    </row>
    <row r="191" spans="1:22" ht="15" customHeight="1">
      <c r="A191" s="85" t="s">
        <v>162</v>
      </c>
      <c r="B191" s="91">
        <v>0</v>
      </c>
      <c r="C191" s="91">
        <v>0.06</v>
      </c>
      <c r="D191" s="91">
        <v>7.0999999999999994E-2</v>
      </c>
      <c r="E191" s="91">
        <v>0.253</v>
      </c>
      <c r="F191" s="91">
        <v>4.5999999999999999E-2</v>
      </c>
      <c r="G191" s="63">
        <v>3.2000000000000001E-2</v>
      </c>
      <c r="H191" s="63">
        <v>0.46500000000000002</v>
      </c>
      <c r="I191" s="63">
        <v>0.12</v>
      </c>
      <c r="J191" s="63">
        <v>3.2000000000000001E-2</v>
      </c>
      <c r="K191" s="91">
        <v>0.64900000000000002</v>
      </c>
      <c r="L191" s="63">
        <v>6.5000000000000002E-2</v>
      </c>
      <c r="M191" s="63">
        <v>3.4000000000000002E-2</v>
      </c>
      <c r="N191" s="63">
        <v>7.3999999999999996E-2</v>
      </c>
      <c r="O191" s="63">
        <v>2.9000000000000001E-2</v>
      </c>
      <c r="P191" s="91">
        <v>0.20200000000000001</v>
      </c>
      <c r="Q191" s="63">
        <v>133.21100000000001</v>
      </c>
      <c r="R191" s="63">
        <v>-1.165</v>
      </c>
      <c r="S191" s="63">
        <v>6.3E-2</v>
      </c>
      <c r="T191" s="63">
        <v>0.14799999999999999</v>
      </c>
      <c r="U191" s="91">
        <v>132.25700000000001</v>
      </c>
      <c r="V191" s="63">
        <v>0.254</v>
      </c>
    </row>
    <row r="192" spans="1:22" ht="15" customHeight="1">
      <c r="A192" s="85" t="s">
        <v>163</v>
      </c>
      <c r="B192" s="91">
        <v>-22.510999999999999</v>
      </c>
      <c r="C192" s="91">
        <v>-335.68200000000002</v>
      </c>
      <c r="D192" s="91">
        <v>-62.935000000000002</v>
      </c>
      <c r="E192" s="91">
        <v>-113.794</v>
      </c>
      <c r="F192" s="91">
        <v>-175.07300000000001</v>
      </c>
      <c r="G192" s="63">
        <v>-156.61099999999999</v>
      </c>
      <c r="H192" s="63">
        <v>-43.822000000000003</v>
      </c>
      <c r="I192" s="63">
        <v>-25.376000000000001</v>
      </c>
      <c r="J192" s="63">
        <v>-54.366999999999997</v>
      </c>
      <c r="K192" s="91">
        <v>-280.17599999999999</v>
      </c>
      <c r="L192" s="63">
        <v>-30.263000000000002</v>
      </c>
      <c r="M192" s="63">
        <v>-17.082999999999998</v>
      </c>
      <c r="N192" s="63">
        <v>-6.7009999999999996</v>
      </c>
      <c r="O192" s="63">
        <v>-34.457000000000001</v>
      </c>
      <c r="P192" s="91">
        <v>-88.504000000000005</v>
      </c>
      <c r="Q192" s="63">
        <v>115.53</v>
      </c>
      <c r="R192" s="63">
        <v>-20.363</v>
      </c>
      <c r="S192" s="63">
        <v>-23.452999999999999</v>
      </c>
      <c r="T192" s="63">
        <v>-22.574999999999999</v>
      </c>
      <c r="U192" s="91">
        <v>49.139000000000003</v>
      </c>
      <c r="V192" s="63">
        <v>-32.341999999999999</v>
      </c>
    </row>
    <row r="193" spans="1:29" ht="15" customHeight="1">
      <c r="A193" s="82" t="s">
        <v>164</v>
      </c>
      <c r="B193" s="82"/>
      <c r="C193" s="82"/>
      <c r="D193" s="82"/>
      <c r="E193" s="82"/>
      <c r="F193" s="82"/>
      <c r="G193" s="63"/>
      <c r="H193" s="63"/>
      <c r="I193" s="63"/>
      <c r="J193" s="63"/>
      <c r="K193" s="82"/>
      <c r="L193" s="63"/>
      <c r="M193" s="63"/>
      <c r="N193" s="63"/>
      <c r="O193" s="63"/>
      <c r="P193" s="82"/>
      <c r="Q193" s="63"/>
      <c r="R193" s="63"/>
      <c r="S193" s="63"/>
      <c r="T193" s="63"/>
      <c r="U193" s="82"/>
      <c r="V193" s="63"/>
    </row>
    <row r="194" spans="1:29" ht="15" customHeight="1">
      <c r="A194" s="84" t="s">
        <v>165</v>
      </c>
      <c r="B194" s="91">
        <v>-2.738</v>
      </c>
      <c r="C194" s="91">
        <v>37.305999999999997</v>
      </c>
      <c r="D194" s="91">
        <v>1.21</v>
      </c>
      <c r="E194" s="91">
        <v>-2.012</v>
      </c>
      <c r="F194" s="91">
        <v>5.9880000000000004</v>
      </c>
      <c r="G194" s="63">
        <v>3.31</v>
      </c>
      <c r="H194" s="63">
        <v>1.613</v>
      </c>
      <c r="I194" s="63">
        <v>-57.396000000000001</v>
      </c>
      <c r="J194" s="63">
        <v>-23.015000000000001</v>
      </c>
      <c r="K194" s="91">
        <v>-75.488</v>
      </c>
      <c r="L194" s="63">
        <v>-7.4880000000000004</v>
      </c>
      <c r="M194" s="63">
        <v>1.901</v>
      </c>
      <c r="N194" s="63">
        <v>-38.79</v>
      </c>
      <c r="O194" s="63">
        <v>-56.167000000000002</v>
      </c>
      <c r="P194" s="91">
        <v>-100.544</v>
      </c>
      <c r="Q194" s="63">
        <v>-96.762</v>
      </c>
      <c r="R194" s="63">
        <v>-9.6039999999999992</v>
      </c>
      <c r="S194" s="63">
        <v>-49.21</v>
      </c>
      <c r="T194" s="63">
        <v>-66.073999999999998</v>
      </c>
      <c r="U194" s="91">
        <v>-221.65</v>
      </c>
      <c r="V194" s="63">
        <v>11.672000000000001</v>
      </c>
    </row>
    <row r="195" spans="1:29" ht="15" customHeight="1">
      <c r="A195" s="83" t="s">
        <v>166</v>
      </c>
      <c r="B195" s="91">
        <v>-5.2380000000000004</v>
      </c>
      <c r="C195" s="91">
        <v>-2.694</v>
      </c>
      <c r="D195" s="91">
        <v>-0.10100000000000001</v>
      </c>
      <c r="E195" s="91">
        <v>-3.5529999999999999</v>
      </c>
      <c r="F195" s="91">
        <v>0</v>
      </c>
      <c r="G195" s="63">
        <v>0</v>
      </c>
      <c r="H195" s="63">
        <v>0</v>
      </c>
      <c r="I195" s="63">
        <v>-58.468000000000004</v>
      </c>
      <c r="J195" s="63">
        <v>-23.015000000000001</v>
      </c>
      <c r="K195" s="91">
        <v>-81.483000000000004</v>
      </c>
      <c r="L195" s="63">
        <v>-7.4880000000000004</v>
      </c>
      <c r="M195" s="63">
        <v>0</v>
      </c>
      <c r="N195" s="63">
        <v>-48</v>
      </c>
      <c r="O195" s="63">
        <v>-60.01</v>
      </c>
      <c r="P195" s="91">
        <v>-115.498</v>
      </c>
      <c r="Q195" s="63">
        <v>-100</v>
      </c>
      <c r="R195" s="63">
        <v>-24.994</v>
      </c>
      <c r="S195" s="63">
        <v>-50</v>
      </c>
      <c r="T195" s="63">
        <v>-67.507999999999996</v>
      </c>
      <c r="U195" s="91">
        <v>-242.50200000000001</v>
      </c>
      <c r="V195" s="63">
        <v>0</v>
      </c>
    </row>
    <row r="196" spans="1:29" ht="15" customHeight="1">
      <c r="A196" s="87" t="s">
        <v>167</v>
      </c>
      <c r="B196" s="91">
        <v>2.5</v>
      </c>
      <c r="C196" s="91">
        <v>40</v>
      </c>
      <c r="D196" s="91">
        <v>1.3109999999999999</v>
      </c>
      <c r="E196" s="91">
        <v>1.5409999999999999</v>
      </c>
      <c r="F196" s="91">
        <v>5.9880000000000004</v>
      </c>
      <c r="G196" s="63">
        <v>3.31</v>
      </c>
      <c r="H196" s="63">
        <v>1.613</v>
      </c>
      <c r="I196" s="63">
        <v>1.0720000000000001</v>
      </c>
      <c r="J196" s="63">
        <v>0</v>
      </c>
      <c r="K196" s="91">
        <v>5.9950000000000001</v>
      </c>
      <c r="L196" s="63">
        <v>0</v>
      </c>
      <c r="M196" s="63">
        <v>1.901</v>
      </c>
      <c r="N196" s="63">
        <v>9.2100000000000009</v>
      </c>
      <c r="O196" s="63">
        <v>3.843</v>
      </c>
      <c r="P196" s="91">
        <v>14.954000000000001</v>
      </c>
      <c r="Q196" s="63">
        <v>3.238</v>
      </c>
      <c r="R196" s="63">
        <v>15.39</v>
      </c>
      <c r="S196" s="63">
        <v>0.79</v>
      </c>
      <c r="T196" s="63">
        <v>1.4339999999999999</v>
      </c>
      <c r="U196" s="91">
        <v>20.852</v>
      </c>
      <c r="V196" s="63">
        <v>11.672000000000001</v>
      </c>
    </row>
    <row r="197" spans="1:29" ht="15" customHeight="1">
      <c r="A197" s="86" t="s">
        <v>168</v>
      </c>
      <c r="B197" s="91">
        <v>2.5</v>
      </c>
      <c r="C197" s="91">
        <v>40</v>
      </c>
      <c r="D197" s="91">
        <v>1.3109999999999999</v>
      </c>
      <c r="E197" s="91">
        <v>1.5</v>
      </c>
      <c r="F197" s="91">
        <v>0</v>
      </c>
      <c r="G197" s="63">
        <v>0</v>
      </c>
      <c r="H197" s="63">
        <v>0</v>
      </c>
      <c r="I197" s="63">
        <v>0</v>
      </c>
      <c r="J197" s="63">
        <v>0</v>
      </c>
      <c r="K197" s="91">
        <v>0</v>
      </c>
      <c r="L197" s="63">
        <v>0</v>
      </c>
      <c r="M197" s="63">
        <v>0</v>
      </c>
      <c r="N197" s="63">
        <v>0</v>
      </c>
      <c r="O197" s="63">
        <v>0</v>
      </c>
      <c r="P197" s="91">
        <v>0</v>
      </c>
      <c r="Q197" s="63">
        <v>0</v>
      </c>
      <c r="R197" s="63">
        <v>0</v>
      </c>
      <c r="S197" s="63">
        <v>0</v>
      </c>
      <c r="T197" s="63">
        <v>0</v>
      </c>
      <c r="U197" s="91">
        <v>0</v>
      </c>
      <c r="V197" s="63">
        <v>0</v>
      </c>
    </row>
    <row r="198" spans="1:29" ht="15" customHeight="1">
      <c r="A198" s="86" t="s">
        <v>169</v>
      </c>
      <c r="B198" s="91">
        <v>0</v>
      </c>
      <c r="C198" s="91">
        <v>0</v>
      </c>
      <c r="D198" s="91">
        <v>0</v>
      </c>
      <c r="E198" s="91">
        <v>4.1000000000000002E-2</v>
      </c>
      <c r="F198" s="91">
        <v>5.9880000000000004</v>
      </c>
      <c r="G198" s="63">
        <v>3.31</v>
      </c>
      <c r="H198" s="63">
        <v>1.613</v>
      </c>
      <c r="I198" s="63">
        <v>1.0720000000000001</v>
      </c>
      <c r="J198" s="63">
        <v>0</v>
      </c>
      <c r="K198" s="91">
        <v>5.9950000000000001</v>
      </c>
      <c r="L198" s="63">
        <v>0</v>
      </c>
      <c r="M198" s="63">
        <v>1.901</v>
      </c>
      <c r="N198" s="63">
        <v>9.2100000000000009</v>
      </c>
      <c r="O198" s="63">
        <v>3.843</v>
      </c>
      <c r="P198" s="91">
        <v>14.954000000000001</v>
      </c>
      <c r="Q198" s="63">
        <v>3.238</v>
      </c>
      <c r="R198" s="63">
        <v>15.39</v>
      </c>
      <c r="S198" s="63">
        <v>0.79</v>
      </c>
      <c r="T198" s="63">
        <v>1.4339999999999999</v>
      </c>
      <c r="U198" s="91">
        <v>20.852</v>
      </c>
      <c r="V198" s="63">
        <v>11.672000000000001</v>
      </c>
    </row>
    <row r="199" spans="1:29" ht="15" customHeight="1">
      <c r="A199" s="84" t="s">
        <v>170</v>
      </c>
      <c r="B199" s="91">
        <v>-6.78</v>
      </c>
      <c r="C199" s="91">
        <v>211.43600000000001</v>
      </c>
      <c r="D199" s="91">
        <v>-6.899</v>
      </c>
      <c r="E199" s="91">
        <v>126.51</v>
      </c>
      <c r="F199" s="91">
        <v>-1.921</v>
      </c>
      <c r="G199" s="63">
        <v>-0.55900000000000005</v>
      </c>
      <c r="H199" s="63">
        <v>39.317</v>
      </c>
      <c r="I199" s="63">
        <v>86.78</v>
      </c>
      <c r="J199" s="63">
        <v>-4.9989999999999997</v>
      </c>
      <c r="K199" s="91">
        <v>120.539</v>
      </c>
      <c r="L199" s="63">
        <v>-2.15</v>
      </c>
      <c r="M199" s="63">
        <v>-2.157</v>
      </c>
      <c r="N199" s="63">
        <v>-2.1509999999999998</v>
      </c>
      <c r="O199" s="63">
        <v>-2.161</v>
      </c>
      <c r="P199" s="91">
        <v>-8.6189999999999998</v>
      </c>
      <c r="Q199" s="63">
        <v>-2.2130000000000001</v>
      </c>
      <c r="R199" s="63">
        <v>-2.2080000000000002</v>
      </c>
      <c r="S199" s="63">
        <v>-2.2109999999999999</v>
      </c>
      <c r="T199" s="63">
        <v>-154.411</v>
      </c>
      <c r="U199" s="91">
        <v>-161.04300000000001</v>
      </c>
      <c r="V199" s="63">
        <v>-1.9650000000000001</v>
      </c>
    </row>
    <row r="200" spans="1:29" ht="15" customHeight="1">
      <c r="A200" s="87" t="s">
        <v>171</v>
      </c>
      <c r="B200" s="91">
        <v>-6.78</v>
      </c>
      <c r="C200" s="91">
        <v>211.43600000000001</v>
      </c>
      <c r="D200" s="91">
        <v>-6.899</v>
      </c>
      <c r="E200" s="91">
        <v>126.51</v>
      </c>
      <c r="F200" s="91">
        <v>-1.921</v>
      </c>
      <c r="G200" s="63">
        <v>-0.55900000000000005</v>
      </c>
      <c r="H200" s="63">
        <v>39.317</v>
      </c>
      <c r="I200" s="63">
        <v>86.78</v>
      </c>
      <c r="J200" s="63">
        <v>-4.9989999999999997</v>
      </c>
      <c r="K200" s="91">
        <v>120.539</v>
      </c>
      <c r="L200" s="63">
        <v>-2.15</v>
      </c>
      <c r="M200" s="63">
        <v>-2.157</v>
      </c>
      <c r="N200" s="63">
        <v>-2.1509999999999998</v>
      </c>
      <c r="O200" s="63">
        <v>-2.161</v>
      </c>
      <c r="P200" s="91">
        <v>-8.6189999999999998</v>
      </c>
      <c r="Q200" s="63">
        <v>-2.2130000000000001</v>
      </c>
      <c r="R200" s="63">
        <v>-2.2080000000000002</v>
      </c>
      <c r="S200" s="63">
        <v>-2.2109999999999999</v>
      </c>
      <c r="T200" s="63">
        <v>-154.411</v>
      </c>
      <c r="U200" s="91">
        <v>-161.04300000000001</v>
      </c>
      <c r="V200" s="63">
        <v>-1.9650000000000001</v>
      </c>
    </row>
    <row r="201" spans="1:29" ht="15" customHeight="1">
      <c r="A201" s="86" t="s">
        <v>172</v>
      </c>
      <c r="B201" s="91">
        <v>0</v>
      </c>
      <c r="C201" s="91">
        <v>248.60300000000001</v>
      </c>
      <c r="D201" s="91">
        <v>41.405000000000001</v>
      </c>
      <c r="E201" s="91">
        <v>1295.9670000000001</v>
      </c>
      <c r="F201" s="91">
        <v>0</v>
      </c>
      <c r="G201" s="63">
        <v>0</v>
      </c>
      <c r="H201" s="63">
        <v>40</v>
      </c>
      <c r="I201" s="63">
        <v>595.5</v>
      </c>
      <c r="J201" s="63">
        <v>-3.4420000000000002</v>
      </c>
      <c r="K201" s="91">
        <v>632.05799999999999</v>
      </c>
      <c r="L201" s="63">
        <v>0</v>
      </c>
      <c r="M201" s="63">
        <v>25</v>
      </c>
      <c r="N201" s="63">
        <v>-25</v>
      </c>
      <c r="O201" s="63">
        <v>25</v>
      </c>
      <c r="P201" s="91">
        <v>25</v>
      </c>
      <c r="Q201" s="63">
        <v>0</v>
      </c>
      <c r="R201" s="63">
        <v>0</v>
      </c>
      <c r="S201" s="63">
        <v>0</v>
      </c>
      <c r="T201" s="63">
        <v>435.90300000000002</v>
      </c>
      <c r="U201" s="91">
        <v>435.90300000000002</v>
      </c>
      <c r="V201" s="63">
        <v>0</v>
      </c>
    </row>
    <row r="202" spans="1:29" ht="15" customHeight="1">
      <c r="A202" s="86" t="s">
        <v>173</v>
      </c>
      <c r="B202" s="91">
        <v>-6.78</v>
      </c>
      <c r="C202" s="91">
        <v>-37.167000000000002</v>
      </c>
      <c r="D202" s="91">
        <v>-48.304000000000002</v>
      </c>
      <c r="E202" s="91">
        <v>-1169.4570000000001</v>
      </c>
      <c r="F202" s="91">
        <v>-1.921</v>
      </c>
      <c r="G202" s="63">
        <v>-0.55900000000000005</v>
      </c>
      <c r="H202" s="63">
        <v>-0.68300000000000005</v>
      </c>
      <c r="I202" s="63">
        <v>-508.72</v>
      </c>
      <c r="J202" s="63">
        <v>-1.5569999999999999</v>
      </c>
      <c r="K202" s="91">
        <v>-511.51900000000001</v>
      </c>
      <c r="L202" s="63">
        <v>-2.15</v>
      </c>
      <c r="M202" s="63">
        <v>-27.157</v>
      </c>
      <c r="N202" s="63">
        <v>22.849</v>
      </c>
      <c r="O202" s="63">
        <v>-27.161000000000001</v>
      </c>
      <c r="P202" s="91">
        <v>-33.619</v>
      </c>
      <c r="Q202" s="63">
        <v>-2.2130000000000001</v>
      </c>
      <c r="R202" s="63">
        <v>-2.2080000000000002</v>
      </c>
      <c r="S202" s="63">
        <v>-2.2109999999999999</v>
      </c>
      <c r="T202" s="63">
        <v>-590.31399999999996</v>
      </c>
      <c r="U202" s="91">
        <v>-596.94600000000003</v>
      </c>
      <c r="V202" s="63">
        <v>-1.9650000000000001</v>
      </c>
    </row>
    <row r="203" spans="1:29" ht="15" customHeight="1">
      <c r="A203" s="84" t="s">
        <v>149</v>
      </c>
      <c r="B203" s="91">
        <v>0</v>
      </c>
      <c r="C203" s="91">
        <v>0</v>
      </c>
      <c r="D203" s="91">
        <v>-2.5840000000000001</v>
      </c>
      <c r="E203" s="91">
        <v>0</v>
      </c>
      <c r="F203" s="91">
        <v>-0.21</v>
      </c>
      <c r="G203" s="63">
        <v>0</v>
      </c>
      <c r="H203" s="63">
        <v>-0.42899999999999999</v>
      </c>
      <c r="I203" s="63">
        <v>0</v>
      </c>
      <c r="J203" s="63">
        <v>0</v>
      </c>
      <c r="K203" s="91">
        <v>-0.42899999999999999</v>
      </c>
      <c r="L203" s="63">
        <v>-0.46</v>
      </c>
      <c r="M203" s="63">
        <v>-1</v>
      </c>
      <c r="N203" s="63">
        <v>-5.7709999999999999</v>
      </c>
      <c r="O203" s="63">
        <v>-0.14699999999999999</v>
      </c>
      <c r="P203" s="91">
        <v>-7.3780000000000001</v>
      </c>
      <c r="Q203" s="63">
        <v>-3.8220000000000001</v>
      </c>
      <c r="R203" s="63">
        <v>-0.379</v>
      </c>
      <c r="S203" s="63">
        <v>-0.65200000000000002</v>
      </c>
      <c r="T203" s="63">
        <v>-0.36099999999999999</v>
      </c>
      <c r="U203" s="91">
        <v>-5.2140000000000004</v>
      </c>
      <c r="V203" s="63">
        <v>-6.8209999999999997</v>
      </c>
    </row>
    <row r="204" spans="1:29" ht="15" customHeight="1">
      <c r="A204" s="83" t="s">
        <v>174</v>
      </c>
      <c r="B204" s="91">
        <v>0</v>
      </c>
      <c r="C204" s="91">
        <v>0</v>
      </c>
      <c r="D204" s="91">
        <v>-2.5840000000000001</v>
      </c>
      <c r="E204" s="91">
        <v>0</v>
      </c>
      <c r="F204" s="91">
        <v>-0.21</v>
      </c>
      <c r="G204" s="63">
        <v>0</v>
      </c>
      <c r="H204" s="63">
        <v>-0.42899999999999999</v>
      </c>
      <c r="I204" s="63">
        <v>0</v>
      </c>
      <c r="J204" s="63">
        <v>0</v>
      </c>
      <c r="K204" s="91">
        <v>-0.42899999999999999</v>
      </c>
      <c r="L204" s="63">
        <v>-0.46</v>
      </c>
      <c r="M204" s="63">
        <v>-1</v>
      </c>
      <c r="N204" s="63">
        <v>-5.7709999999999999</v>
      </c>
      <c r="O204" s="63">
        <v>-0.14699999999999999</v>
      </c>
      <c r="P204" s="91">
        <v>-7.3780000000000001</v>
      </c>
      <c r="Q204" s="63">
        <v>-3.8220000000000001</v>
      </c>
      <c r="R204" s="63">
        <v>-0.379</v>
      </c>
      <c r="S204" s="63">
        <v>-0.65200000000000002</v>
      </c>
      <c r="T204" s="63">
        <v>-0.36099999999999999</v>
      </c>
      <c r="U204" s="91">
        <v>-5.2140000000000004</v>
      </c>
      <c r="V204" s="63">
        <v>-6.8209999999999997</v>
      </c>
    </row>
    <row r="205" spans="1:29" ht="15" customHeight="1">
      <c r="A205" s="85" t="s">
        <v>175</v>
      </c>
      <c r="B205" s="91">
        <v>-9.5180000000000007</v>
      </c>
      <c r="C205" s="91">
        <v>248.74199999999999</v>
      </c>
      <c r="D205" s="91">
        <v>-8.2729999999999997</v>
      </c>
      <c r="E205" s="91">
        <v>124.498</v>
      </c>
      <c r="F205" s="91">
        <v>3.8570000000000002</v>
      </c>
      <c r="G205" s="63">
        <v>2.7509999999999999</v>
      </c>
      <c r="H205" s="63">
        <v>40.500999999999998</v>
      </c>
      <c r="I205" s="63">
        <v>29.384</v>
      </c>
      <c r="J205" s="63">
        <v>-28.013999999999999</v>
      </c>
      <c r="K205" s="91">
        <v>44.622</v>
      </c>
      <c r="L205" s="63">
        <v>-10.098000000000001</v>
      </c>
      <c r="M205" s="63">
        <v>-1.256</v>
      </c>
      <c r="N205" s="63">
        <v>-46.712000000000003</v>
      </c>
      <c r="O205" s="63">
        <v>-58.475000000000001</v>
      </c>
      <c r="P205" s="91">
        <v>-116.541</v>
      </c>
      <c r="Q205" s="63">
        <v>-102.797</v>
      </c>
      <c r="R205" s="63">
        <v>-12.191000000000001</v>
      </c>
      <c r="S205" s="63">
        <v>-52.073</v>
      </c>
      <c r="T205" s="63">
        <v>-220.846</v>
      </c>
      <c r="U205" s="91">
        <v>-387.90699999999998</v>
      </c>
      <c r="V205" s="63">
        <v>2.8860000000000001</v>
      </c>
    </row>
    <row r="207" spans="1:29" s="64" customFormat="1" ht="15" customHeight="1">
      <c r="A207" s="65" t="s">
        <v>134</v>
      </c>
      <c r="W207" s="113"/>
      <c r="X207" s="113"/>
      <c r="Y207" s="113"/>
      <c r="Z207" s="113"/>
      <c r="AA207" s="113"/>
      <c r="AB207" s="113"/>
      <c r="AC207" s="113"/>
    </row>
    <row r="208" spans="1:29" ht="15" customHeight="1">
      <c r="A208" s="3" t="s">
        <v>135</v>
      </c>
      <c r="D208" s="45">
        <f>D178</f>
        <v>78.510000000000005</v>
      </c>
      <c r="E208" s="45">
        <f t="shared" ref="E208:V208" si="164">E178</f>
        <v>130.51900000000001</v>
      </c>
      <c r="F208" s="45">
        <f t="shared" si="164"/>
        <v>245.983</v>
      </c>
      <c r="G208" s="77">
        <f t="shared" si="164"/>
        <v>54.273000000000003</v>
      </c>
      <c r="H208" s="77">
        <f t="shared" si="164"/>
        <v>85.010999999999996</v>
      </c>
      <c r="I208" s="77">
        <f t="shared" si="164"/>
        <v>69.367999999999995</v>
      </c>
      <c r="J208" s="77">
        <f t="shared" si="164"/>
        <v>34.094000000000001</v>
      </c>
      <c r="K208" s="45">
        <f t="shared" si="164"/>
        <v>242.74600000000001</v>
      </c>
      <c r="L208" s="77">
        <f t="shared" si="164"/>
        <v>11.298999999999999</v>
      </c>
      <c r="M208" s="77">
        <f t="shared" si="164"/>
        <v>58.734999999999999</v>
      </c>
      <c r="N208" s="77">
        <f t="shared" si="164"/>
        <v>70.058999999999997</v>
      </c>
      <c r="O208" s="77">
        <f t="shared" si="164"/>
        <v>69.097999999999999</v>
      </c>
      <c r="P208" s="45">
        <f t="shared" si="164"/>
        <v>209.191</v>
      </c>
      <c r="Q208" s="77">
        <f t="shared" si="164"/>
        <v>21.349</v>
      </c>
      <c r="R208" s="77">
        <f t="shared" si="164"/>
        <v>87.204999999999998</v>
      </c>
      <c r="S208" s="77">
        <f t="shared" si="164"/>
        <v>85.665999999999997</v>
      </c>
      <c r="T208" s="77">
        <f t="shared" si="164"/>
        <v>58.353000000000002</v>
      </c>
      <c r="U208" s="45">
        <f t="shared" si="164"/>
        <v>252.57300000000001</v>
      </c>
      <c r="V208" s="63">
        <f t="shared" si="164"/>
        <v>57.698</v>
      </c>
      <c r="W208" s="114">
        <f t="shared" ref="W208:Y208" si="165">W4*W209</f>
        <v>86.535995900000003</v>
      </c>
      <c r="X208" s="114">
        <f t="shared" si="165"/>
        <v>76.6540854</v>
      </c>
      <c r="Y208" s="114">
        <f t="shared" si="165"/>
        <v>65.456531216000002</v>
      </c>
      <c r="Z208" s="104">
        <f>SUM(V208:Y208)</f>
        <v>286.34461251599998</v>
      </c>
      <c r="AA208" s="104">
        <f t="shared" ref="AA208" ca="1" si="166">AA4*AA209</f>
        <v>313.49208232800004</v>
      </c>
      <c r="AB208" s="104">
        <f t="shared" ref="AB208" ca="1" si="167">AB4*AB209</f>
        <v>351.93106086584407</v>
      </c>
      <c r="AC208" s="104">
        <f t="shared" ref="AC208" ca="1" si="168">AC4*AC209</f>
        <v>395.30710873653351</v>
      </c>
    </row>
    <row r="209" spans="1:29" ht="15" customHeight="1">
      <c r="A209" t="s">
        <v>136</v>
      </c>
      <c r="D209" s="56">
        <f t="shared" ref="D209:U209" si="169">D208/D4</f>
        <v>9.8853819116067998E-2</v>
      </c>
      <c r="E209" s="56">
        <f t="shared" si="169"/>
        <v>0.14514061473272685</v>
      </c>
      <c r="F209" s="56">
        <f t="shared" si="169"/>
        <v>0.20864158175552774</v>
      </c>
      <c r="G209" s="79">
        <f t="shared" si="169"/>
        <v>0.20897699850672299</v>
      </c>
      <c r="H209" s="79">
        <f t="shared" si="169"/>
        <v>0.21453609147473102</v>
      </c>
      <c r="I209" s="79">
        <f t="shared" si="169"/>
        <v>0.17561919265719364</v>
      </c>
      <c r="J209" s="79">
        <f t="shared" si="169"/>
        <v>0.11191864686278893</v>
      </c>
      <c r="K209" s="56">
        <f t="shared" si="169"/>
        <v>0.17907089640869037</v>
      </c>
      <c r="L209" s="79">
        <f t="shared" si="169"/>
        <v>5.2247535793920212E-2</v>
      </c>
      <c r="M209" s="79">
        <f t="shared" si="169"/>
        <v>0.15551031575237079</v>
      </c>
      <c r="N209" s="79">
        <f t="shared" si="169"/>
        <v>0.18077269011734082</v>
      </c>
      <c r="O209" s="79">
        <f t="shared" si="169"/>
        <v>0.17771570287802735</v>
      </c>
      <c r="P209" s="56">
        <f t="shared" si="169"/>
        <v>0.15265894762478913</v>
      </c>
      <c r="Q209" s="79">
        <f t="shared" si="169"/>
        <v>8.8789905341784367E-2</v>
      </c>
      <c r="R209" s="79">
        <f t="shared" si="169"/>
        <v>0.20842097207560498</v>
      </c>
      <c r="S209" s="79">
        <f t="shared" si="169"/>
        <v>0.19721941482932712</v>
      </c>
      <c r="T209" s="79">
        <f t="shared" si="169"/>
        <v>0.16757173244957263</v>
      </c>
      <c r="U209" s="56">
        <f t="shared" si="169"/>
        <v>0.17522172392235758</v>
      </c>
      <c r="V209" s="79">
        <f>V208/V4</f>
        <v>0.20214484162436192</v>
      </c>
      <c r="W209" s="101">
        <v>0.19</v>
      </c>
      <c r="X209" s="101">
        <v>0.18</v>
      </c>
      <c r="Y209" s="101">
        <v>0.16</v>
      </c>
      <c r="Z209" s="137">
        <f>Z208/Z4</f>
        <v>0.18170908090739629</v>
      </c>
      <c r="AA209" s="137">
        <v>0.18</v>
      </c>
      <c r="AB209" s="137">
        <v>0.18</v>
      </c>
      <c r="AC209" s="137">
        <v>0.18</v>
      </c>
    </row>
    <row r="211" spans="1:29" ht="15" customHeight="1">
      <c r="A211" t="s">
        <v>139</v>
      </c>
      <c r="D211" s="28">
        <f>D179</f>
        <v>16.361999999999998</v>
      </c>
      <c r="E211" s="52">
        <f t="shared" ref="E211:V211" si="170">E179</f>
        <v>-32.158000000000001</v>
      </c>
      <c r="F211" s="52">
        <f t="shared" si="170"/>
        <v>-39.243000000000002</v>
      </c>
      <c r="G211" s="63">
        <f t="shared" si="170"/>
        <v>-84.893000000000001</v>
      </c>
      <c r="H211" s="63">
        <f t="shared" si="170"/>
        <v>-121.934</v>
      </c>
      <c r="I211" s="63">
        <f t="shared" si="170"/>
        <v>60.433</v>
      </c>
      <c r="J211" s="63">
        <f t="shared" si="170"/>
        <v>9.4830000000000005</v>
      </c>
      <c r="K211" s="52">
        <f t="shared" si="170"/>
        <v>-136.911</v>
      </c>
      <c r="L211" s="63">
        <f t="shared" si="170"/>
        <v>-4.8899999999999997</v>
      </c>
      <c r="M211" s="63">
        <f t="shared" si="170"/>
        <v>-1.002</v>
      </c>
      <c r="N211" s="63">
        <f t="shared" si="170"/>
        <v>101.69199999999999</v>
      </c>
      <c r="O211" s="63">
        <f t="shared" si="170"/>
        <v>57.551000000000002</v>
      </c>
      <c r="P211" s="52">
        <f t="shared" si="170"/>
        <v>153.351</v>
      </c>
      <c r="Q211" s="63">
        <f t="shared" si="170"/>
        <v>-37.637</v>
      </c>
      <c r="R211" s="63">
        <f t="shared" si="170"/>
        <v>-102.011</v>
      </c>
      <c r="S211" s="63">
        <f t="shared" si="170"/>
        <v>109.40900000000001</v>
      </c>
      <c r="T211" s="63">
        <f t="shared" si="170"/>
        <v>2.145</v>
      </c>
      <c r="U211" s="52">
        <f t="shared" si="170"/>
        <v>-28.094000000000001</v>
      </c>
      <c r="V211" s="63">
        <f t="shared" si="170"/>
        <v>-44.133000000000003</v>
      </c>
      <c r="W211" s="114">
        <v>0</v>
      </c>
      <c r="X211" s="114">
        <v>15</v>
      </c>
      <c r="Y211" s="114">
        <v>2</v>
      </c>
      <c r="Z211" s="104">
        <f>SUM(V211:Y211)</f>
        <v>-27.133000000000003</v>
      </c>
      <c r="AA211" s="104">
        <f ca="1">-(15%*AA4-16%*Z4)</f>
        <v>-9.1088483240000073</v>
      </c>
      <c r="AB211" s="104">
        <f t="shared" ref="AB211:AC211" ca="1" si="171">-15%*(AB4-AA4)</f>
        <v>-32.03248211487</v>
      </c>
      <c r="AC211" s="104">
        <f t="shared" ca="1" si="171"/>
        <v>-36.146706558907894</v>
      </c>
    </row>
    <row r="212" spans="1:29" ht="15" customHeight="1">
      <c r="D212" s="28"/>
      <c r="E212" s="52"/>
      <c r="F212" s="52"/>
      <c r="G212" s="63"/>
      <c r="H212" s="63"/>
      <c r="I212" s="63"/>
      <c r="J212" s="63"/>
      <c r="K212" s="52"/>
      <c r="L212" s="63"/>
      <c r="M212" s="63"/>
      <c r="N212" s="63"/>
      <c r="O212" s="63"/>
      <c r="P212" s="52"/>
      <c r="Q212" s="63"/>
      <c r="R212" s="63"/>
      <c r="S212" s="63"/>
      <c r="T212" s="63"/>
      <c r="U212" s="52"/>
      <c r="V212" s="76"/>
    </row>
    <row r="214" spans="1:29" ht="15" customHeight="1">
      <c r="A214" t="s">
        <v>137</v>
      </c>
      <c r="D214" s="28">
        <f>D185</f>
        <v>94.872</v>
      </c>
      <c r="E214" s="28">
        <f t="shared" ref="E214:U214" si="172">E185</f>
        <v>98.361000000000004</v>
      </c>
      <c r="F214" s="28">
        <f t="shared" si="172"/>
        <v>206.74</v>
      </c>
      <c r="G214" s="76">
        <f t="shared" si="172"/>
        <v>-30.62</v>
      </c>
      <c r="H214" s="76">
        <f t="shared" si="172"/>
        <v>-36.923000000000002</v>
      </c>
      <c r="I214" s="76">
        <f t="shared" si="172"/>
        <v>129.80099999999999</v>
      </c>
      <c r="J214" s="76">
        <f t="shared" si="172"/>
        <v>43.576999999999998</v>
      </c>
      <c r="K214" s="28">
        <f t="shared" si="172"/>
        <v>105.83499999999999</v>
      </c>
      <c r="L214" s="76">
        <f t="shared" si="172"/>
        <v>6.4089999999999998</v>
      </c>
      <c r="M214" s="76">
        <f t="shared" si="172"/>
        <v>57.732999999999997</v>
      </c>
      <c r="N214" s="76">
        <f t="shared" si="172"/>
        <v>171.751</v>
      </c>
      <c r="O214" s="76">
        <f t="shared" si="172"/>
        <v>126.649</v>
      </c>
      <c r="P214" s="28">
        <f t="shared" si="172"/>
        <v>362.54199999999997</v>
      </c>
      <c r="Q214" s="76">
        <f t="shared" si="172"/>
        <v>-16.288</v>
      </c>
      <c r="R214" s="76">
        <f t="shared" si="172"/>
        <v>-14.805999999999999</v>
      </c>
      <c r="S214" s="76">
        <f t="shared" si="172"/>
        <v>195.07499999999999</v>
      </c>
      <c r="T214" s="76">
        <f t="shared" si="172"/>
        <v>60.497999999999998</v>
      </c>
      <c r="U214" s="28">
        <f t="shared" si="172"/>
        <v>224.47900000000001</v>
      </c>
      <c r="V214" s="325">
        <f>V208+V211</f>
        <v>13.564999999999998</v>
      </c>
      <c r="W214" s="115">
        <f t="shared" ref="W214:Y214" si="173">W208+W211</f>
        <v>86.535995900000003</v>
      </c>
      <c r="X214" s="115">
        <f t="shared" si="173"/>
        <v>91.6540854</v>
      </c>
      <c r="Y214" s="115">
        <f t="shared" si="173"/>
        <v>67.456531216000002</v>
      </c>
      <c r="Z214" s="197">
        <f>SUM(V214:Y214)</f>
        <v>259.211612516</v>
      </c>
      <c r="AA214" s="197">
        <f ca="1">AA208+AA211</f>
        <v>304.38323400400003</v>
      </c>
      <c r="AB214" s="197">
        <f t="shared" ref="AB214:AC214" ca="1" si="174">AB208+AB211</f>
        <v>319.89857875097408</v>
      </c>
      <c r="AC214" s="197">
        <f t="shared" ca="1" si="174"/>
        <v>359.1604021776256</v>
      </c>
    </row>
    <row r="215" spans="1:29" ht="15" customHeight="1">
      <c r="A215" t="s">
        <v>136</v>
      </c>
      <c r="D215" s="56">
        <f t="shared" ref="D215:U215" si="175">D214/D4</f>
        <v>0.11945560472780031</v>
      </c>
      <c r="E215" s="56">
        <f t="shared" si="175"/>
        <v>0.10938005965204872</v>
      </c>
      <c r="F215" s="56">
        <f t="shared" si="175"/>
        <v>0.17535586041367821</v>
      </c>
      <c r="G215" s="79">
        <f t="shared" si="175"/>
        <v>-0.11790163975228674</v>
      </c>
      <c r="H215" s="79">
        <f t="shared" si="175"/>
        <v>-9.3179895607880092E-2</v>
      </c>
      <c r="I215" s="79">
        <f t="shared" si="175"/>
        <v>0.32861761656810623</v>
      </c>
      <c r="J215" s="79">
        <f t="shared" si="175"/>
        <v>0.14304801062766917</v>
      </c>
      <c r="K215" s="56">
        <f t="shared" si="175"/>
        <v>7.8073246609269537E-2</v>
      </c>
      <c r="L215" s="79">
        <f t="shared" si="175"/>
        <v>2.9635760412712157E-2</v>
      </c>
      <c r="M215" s="79">
        <f t="shared" si="175"/>
        <v>0.15285736033594316</v>
      </c>
      <c r="N215" s="79">
        <f t="shared" si="175"/>
        <v>0.44316776289046955</v>
      </c>
      <c r="O215" s="79">
        <f t="shared" si="175"/>
        <v>0.32573324920836039</v>
      </c>
      <c r="P215" s="56">
        <f t="shared" si="175"/>
        <v>0.26456817066597649</v>
      </c>
      <c r="Q215" s="79">
        <f t="shared" si="175"/>
        <v>-6.7741345178087206E-2</v>
      </c>
      <c r="R215" s="79">
        <f t="shared" si="175"/>
        <v>-3.5386513531923708E-2</v>
      </c>
      <c r="S215" s="79">
        <f t="shared" si="175"/>
        <v>0.44909972857179031</v>
      </c>
      <c r="T215" s="79">
        <f t="shared" si="175"/>
        <v>0.17373150771570003</v>
      </c>
      <c r="U215" s="56">
        <f t="shared" si="175"/>
        <v>0.15573159983199672</v>
      </c>
      <c r="V215" s="79">
        <f>V214/V4</f>
        <v>4.7524953666235721E-2</v>
      </c>
      <c r="Z215" s="106">
        <f>Z214/Z4</f>
        <v>0.16449097280702166</v>
      </c>
      <c r="AA215" s="106">
        <f t="shared" ref="AA215:AC215" ca="1" si="176">AA214/AA4</f>
        <v>0.17476990714998494</v>
      </c>
      <c r="AB215" s="106">
        <f t="shared" ca="1" si="176"/>
        <v>0.16361654476734427</v>
      </c>
      <c r="AC215" s="106">
        <f t="shared" ca="1" si="176"/>
        <v>0.16354087989614208</v>
      </c>
    </row>
    <row r="217" spans="1:29" ht="15" customHeight="1">
      <c r="A217" t="s">
        <v>138</v>
      </c>
      <c r="D217" s="66">
        <f>D187</f>
        <v>-63.006</v>
      </c>
      <c r="E217" s="66">
        <f t="shared" ref="E217:V217" si="177">E187</f>
        <v>-95.593999999999994</v>
      </c>
      <c r="F217" s="66">
        <f t="shared" si="177"/>
        <v>-175.119</v>
      </c>
      <c r="G217" s="78">
        <f t="shared" si="177"/>
        <v>-65.332999999999998</v>
      </c>
      <c r="H217" s="78">
        <f t="shared" si="177"/>
        <v>-48.661999999999999</v>
      </c>
      <c r="I217" s="78">
        <f t="shared" si="177"/>
        <v>-25.495999999999999</v>
      </c>
      <c r="J217" s="78">
        <f t="shared" si="177"/>
        <v>-32.947000000000003</v>
      </c>
      <c r="K217" s="66">
        <f t="shared" si="177"/>
        <v>-172.43799999999999</v>
      </c>
      <c r="L217" s="78">
        <f t="shared" si="177"/>
        <v>-30.327999999999999</v>
      </c>
      <c r="M217" s="78">
        <f t="shared" si="177"/>
        <v>-16.956</v>
      </c>
      <c r="N217" s="78">
        <f t="shared" si="177"/>
        <v>-6.7750000000000004</v>
      </c>
      <c r="O217" s="78">
        <f t="shared" si="177"/>
        <v>-34.485999999999997</v>
      </c>
      <c r="P217" s="66">
        <f t="shared" si="177"/>
        <v>-88.545000000000002</v>
      </c>
      <c r="Q217" s="78">
        <f t="shared" si="177"/>
        <v>-17.681000000000001</v>
      </c>
      <c r="R217" s="78">
        <f t="shared" si="177"/>
        <v>-19.198</v>
      </c>
      <c r="S217" s="78">
        <f t="shared" si="177"/>
        <v>-17.553999999999998</v>
      </c>
      <c r="T217" s="78">
        <f t="shared" si="177"/>
        <v>-22.713999999999999</v>
      </c>
      <c r="U217" s="66">
        <f t="shared" si="177"/>
        <v>-77.147000000000006</v>
      </c>
      <c r="V217" s="63">
        <f t="shared" si="177"/>
        <v>-21.596</v>
      </c>
      <c r="W217" s="114">
        <f t="shared" ref="W217:AC217" si="178">-W218*W4</f>
        <v>-27.327156599999999</v>
      </c>
      <c r="X217" s="114">
        <f t="shared" si="178"/>
        <v>-25.551361800000002</v>
      </c>
      <c r="Y217" s="114">
        <f t="shared" si="178"/>
        <v>-24.546199206000001</v>
      </c>
      <c r="Z217" s="104">
        <f>SUM(V217:Y217)</f>
        <v>-99.020717605999991</v>
      </c>
      <c r="AA217" s="104">
        <f t="shared" ca="1" si="178"/>
        <v>-104.49736077600001</v>
      </c>
      <c r="AB217" s="104">
        <f t="shared" ca="1" si="178"/>
        <v>-117.31035362194801</v>
      </c>
      <c r="AC217" s="104">
        <f t="shared" ca="1" si="178"/>
        <v>-131.76903624551119</v>
      </c>
    </row>
    <row r="218" spans="1:29" ht="15" customHeight="1">
      <c r="A218" t="s">
        <v>136</v>
      </c>
      <c r="D218" s="56">
        <f t="shared" ref="D218:V218" si="179">-D217/D4</f>
        <v>7.9332361829410003E-2</v>
      </c>
      <c r="E218" s="56">
        <f t="shared" si="179"/>
        <v>0.1063030817333897</v>
      </c>
      <c r="F218" s="56">
        <f t="shared" si="179"/>
        <v>0.14853508232457635</v>
      </c>
      <c r="G218" s="79">
        <f t="shared" si="179"/>
        <v>0.25156328641202313</v>
      </c>
      <c r="H218" s="79">
        <f t="shared" si="179"/>
        <v>0.12280475801182625</v>
      </c>
      <c r="I218" s="79">
        <f t="shared" si="179"/>
        <v>6.4548306654189383E-2</v>
      </c>
      <c r="J218" s="79">
        <f t="shared" si="179"/>
        <v>0.10815344806089949</v>
      </c>
      <c r="K218" s="56">
        <f t="shared" si="179"/>
        <v>0.12720550383908177</v>
      </c>
      <c r="L218" s="79">
        <f t="shared" si="179"/>
        <v>0.14023924821294029</v>
      </c>
      <c r="M218" s="79">
        <f t="shared" si="179"/>
        <v>4.4893724591762982E-2</v>
      </c>
      <c r="N218" s="79">
        <f t="shared" si="179"/>
        <v>1.7481479546453477E-2</v>
      </c>
      <c r="O218" s="79">
        <f t="shared" si="179"/>
        <v>8.8695819407966225E-2</v>
      </c>
      <c r="P218" s="56">
        <f t="shared" si="179"/>
        <v>6.4616482149982321E-2</v>
      </c>
      <c r="Q218" s="79">
        <f t="shared" si="179"/>
        <v>7.3534793964499023E-2</v>
      </c>
      <c r="R218" s="79">
        <f t="shared" si="179"/>
        <v>4.5883445007825978E-2</v>
      </c>
      <c r="S218" s="79">
        <f t="shared" si="179"/>
        <v>4.041264454875923E-2</v>
      </c>
      <c r="T218" s="79">
        <f t="shared" si="179"/>
        <v>6.5227568948633186E-2</v>
      </c>
      <c r="U218" s="56">
        <f t="shared" si="179"/>
        <v>5.3520488474374225E-2</v>
      </c>
      <c r="V218" s="322">
        <f t="shared" si="179"/>
        <v>7.5661548055733649E-2</v>
      </c>
      <c r="W218" s="134">
        <v>0.06</v>
      </c>
      <c r="X218" s="134">
        <v>0.06</v>
      </c>
      <c r="Y218" s="134">
        <v>0.06</v>
      </c>
      <c r="Z218" s="137">
        <v>0.06</v>
      </c>
      <c r="AA218" s="137">
        <v>0.06</v>
      </c>
      <c r="AB218" s="137">
        <v>0.06</v>
      </c>
      <c r="AC218" s="137">
        <v>0.06</v>
      </c>
    </row>
    <row r="219" spans="1:29" ht="15" customHeight="1" thickBot="1"/>
    <row r="220" spans="1:29" s="12" customFormat="1" ht="15" customHeight="1" thickBot="1">
      <c r="A220" s="69" t="s">
        <v>134</v>
      </c>
      <c r="D220" s="92">
        <f>D214+D217</f>
        <v>31.866</v>
      </c>
      <c r="E220" s="92">
        <f t="shared" ref="E220:U220" si="180">E214+E217</f>
        <v>2.7670000000000101</v>
      </c>
      <c r="F220" s="92">
        <f t="shared" si="180"/>
        <v>31.621000000000009</v>
      </c>
      <c r="G220" s="93">
        <f t="shared" si="180"/>
        <v>-95.953000000000003</v>
      </c>
      <c r="H220" s="93">
        <f t="shared" si="180"/>
        <v>-85.585000000000008</v>
      </c>
      <c r="I220" s="93">
        <f t="shared" si="180"/>
        <v>104.30499999999999</v>
      </c>
      <c r="J220" s="93">
        <f t="shared" si="180"/>
        <v>10.629999999999995</v>
      </c>
      <c r="K220" s="92">
        <f t="shared" si="180"/>
        <v>-66.602999999999994</v>
      </c>
      <c r="L220" s="93">
        <f t="shared" si="180"/>
        <v>-23.919</v>
      </c>
      <c r="M220" s="93">
        <f t="shared" si="180"/>
        <v>40.777000000000001</v>
      </c>
      <c r="N220" s="93">
        <f t="shared" si="180"/>
        <v>164.976</v>
      </c>
      <c r="O220" s="93">
        <f t="shared" si="180"/>
        <v>92.163000000000011</v>
      </c>
      <c r="P220" s="92">
        <f t="shared" si="180"/>
        <v>273.99699999999996</v>
      </c>
      <c r="Q220" s="93">
        <f t="shared" si="180"/>
        <v>-33.969000000000001</v>
      </c>
      <c r="R220" s="93">
        <f t="shared" si="180"/>
        <v>-34.003999999999998</v>
      </c>
      <c r="S220" s="93">
        <f t="shared" si="180"/>
        <v>177.52099999999999</v>
      </c>
      <c r="T220" s="93">
        <f t="shared" si="180"/>
        <v>37.783999999999999</v>
      </c>
      <c r="U220" s="92">
        <f t="shared" si="180"/>
        <v>147.33199999999999</v>
      </c>
      <c r="V220" s="326">
        <f>V214+V217</f>
        <v>-8.0310000000000024</v>
      </c>
      <c r="W220" s="198">
        <f t="shared" ref="W220:AC220" si="181">W214+W217</f>
        <v>59.208839300000008</v>
      </c>
      <c r="X220" s="198">
        <f t="shared" si="181"/>
        <v>66.10272359999999</v>
      </c>
      <c r="Y220" s="198">
        <f t="shared" si="181"/>
        <v>42.910332010000005</v>
      </c>
      <c r="Z220" s="199">
        <f t="shared" si="181"/>
        <v>160.19089491</v>
      </c>
      <c r="AA220" s="199">
        <f t="shared" ca="1" si="181"/>
        <v>199.88587322800004</v>
      </c>
      <c r="AB220" s="199">
        <f t="shared" ca="1" si="181"/>
        <v>202.58822512902606</v>
      </c>
      <c r="AC220" s="199">
        <f t="shared" ca="1" si="181"/>
        <v>227.39136593211441</v>
      </c>
    </row>
    <row r="221" spans="1:29" ht="15" customHeight="1">
      <c r="A221" t="s">
        <v>136</v>
      </c>
      <c r="D221" s="56">
        <f t="shared" ref="D221:AC221" si="182">D220/D4</f>
        <v>4.0123242898390303E-2</v>
      </c>
      <c r="E221" s="56">
        <f t="shared" si="182"/>
        <v>3.0769779186590202E-3</v>
      </c>
      <c r="F221" s="56">
        <f t="shared" si="182"/>
        <v>2.6820778089101868E-2</v>
      </c>
      <c r="G221" s="79">
        <f t="shared" si="182"/>
        <v>-0.36946492616430987</v>
      </c>
      <c r="H221" s="79">
        <f t="shared" si="182"/>
        <v>-0.21598465361970637</v>
      </c>
      <c r="I221" s="79">
        <f t="shared" si="182"/>
        <v>0.26406930991391686</v>
      </c>
      <c r="J221" s="79">
        <f t="shared" si="182"/>
        <v>3.4894562566769691E-2</v>
      </c>
      <c r="K221" s="56">
        <f t="shared" si="182"/>
        <v>-4.9132257229812244E-2</v>
      </c>
      <c r="L221" s="79">
        <f t="shared" si="182"/>
        <v>-0.11060348780022813</v>
      </c>
      <c r="M221" s="79">
        <f t="shared" si="182"/>
        <v>0.10796363574418019</v>
      </c>
      <c r="N221" s="79">
        <f t="shared" si="182"/>
        <v>0.42568628334401609</v>
      </c>
      <c r="O221" s="79">
        <f t="shared" si="182"/>
        <v>0.23703742980039416</v>
      </c>
      <c r="P221" s="56">
        <f t="shared" si="182"/>
        <v>0.19995168851599418</v>
      </c>
      <c r="Q221" s="79">
        <f t="shared" si="182"/>
        <v>-0.14127613914258622</v>
      </c>
      <c r="R221" s="79">
        <f t="shared" si="182"/>
        <v>-8.1269958539749679E-2</v>
      </c>
      <c r="S221" s="79">
        <f t="shared" si="182"/>
        <v>0.40868708402303106</v>
      </c>
      <c r="T221" s="79">
        <f t="shared" si="182"/>
        <v>0.10850393876706685</v>
      </c>
      <c r="U221" s="56">
        <f t="shared" si="182"/>
        <v>0.10221111135762249</v>
      </c>
      <c r="V221" s="79">
        <f t="shared" si="182"/>
        <v>-2.8136594389497917E-2</v>
      </c>
      <c r="W221" s="101">
        <f t="shared" si="182"/>
        <v>0.13000000000000003</v>
      </c>
      <c r="X221" s="101">
        <f t="shared" si="182"/>
        <v>0.15522317154931442</v>
      </c>
      <c r="Y221" s="101">
        <f t="shared" si="182"/>
        <v>0.10488874057416872</v>
      </c>
      <c r="Z221" s="106">
        <f t="shared" si="182"/>
        <v>0.10165422714982264</v>
      </c>
      <c r="AA221" s="106">
        <f t="shared" ca="1" si="182"/>
        <v>0.11476990714998496</v>
      </c>
      <c r="AB221" s="106">
        <f t="shared" ca="1" si="182"/>
        <v>0.10361654476734426</v>
      </c>
      <c r="AC221" s="106">
        <f t="shared" ca="1" si="182"/>
        <v>0.10354087989614208</v>
      </c>
    </row>
    <row r="222" spans="1:29" ht="15" customHeight="1">
      <c r="A222" t="s">
        <v>140</v>
      </c>
      <c r="E222" s="52">
        <v>6.5814999999999999E-2</v>
      </c>
      <c r="F222" s="52">
        <v>0.55252299999999999</v>
      </c>
      <c r="G222" s="63">
        <v>-0.79428100000000001</v>
      </c>
      <c r="H222" s="63">
        <v>-2.1745420000000002</v>
      </c>
      <c r="I222" s="63">
        <v>-1.838606</v>
      </c>
      <c r="J222" s="63">
        <v>-2.5934379999999999</v>
      </c>
      <c r="K222" s="52">
        <v>-2.5350779999999999</v>
      </c>
      <c r="L222" s="63">
        <v>0.226072</v>
      </c>
      <c r="M222" s="63">
        <v>3.7432799999999999</v>
      </c>
      <c r="N222" s="63">
        <v>4.2388079999999997</v>
      </c>
      <c r="O222" s="63">
        <v>6.2377229999999999</v>
      </c>
      <c r="P222" s="52">
        <v>6.1074489999999999</v>
      </c>
      <c r="Q222" s="63">
        <v>4.6351069999999996</v>
      </c>
      <c r="R222" s="63">
        <v>2.5496080000000001</v>
      </c>
      <c r="S222" s="63">
        <v>3.2460719999999998</v>
      </c>
      <c r="T222" s="63">
        <v>2.1589469999999999</v>
      </c>
      <c r="U222" s="52">
        <v>2.1345339999999999</v>
      </c>
    </row>
    <row r="223" spans="1:29" ht="15" customHeight="1">
      <c r="A223" t="s">
        <v>141</v>
      </c>
      <c r="D223" s="52">
        <f t="shared" ref="D223:U223" si="183">D220/D98</f>
        <v>0.29461161676736725</v>
      </c>
      <c r="E223" s="52">
        <f t="shared" si="183"/>
        <v>2.2656461515150744E-2</v>
      </c>
      <c r="F223" s="52">
        <f t="shared" si="183"/>
        <v>0.20183651762923999</v>
      </c>
      <c r="G223" s="63">
        <f t="shared" si="183"/>
        <v>-0.61173087169561302</v>
      </c>
      <c r="H223" s="63">
        <f t="shared" si="183"/>
        <v>-0.54819491970470491</v>
      </c>
      <c r="I223" s="63">
        <f t="shared" si="183"/>
        <v>0.67778452930575772</v>
      </c>
      <c r="J223" s="63">
        <f t="shared" si="183"/>
        <v>7.0045005134832583E-2</v>
      </c>
      <c r="K223" s="52">
        <f t="shared" si="183"/>
        <v>-0.43103759868043195</v>
      </c>
      <c r="L223" s="63">
        <f t="shared" si="183"/>
        <v>-0.15853244253198959</v>
      </c>
      <c r="M223" s="63">
        <f t="shared" si="183"/>
        <v>0.26956696579364636</v>
      </c>
      <c r="N223" s="63">
        <f t="shared" si="183"/>
        <v>1.0920503755498596</v>
      </c>
      <c r="O223" s="63">
        <f t="shared" si="183"/>
        <v>0.61228811889993107</v>
      </c>
      <c r="P223" s="52">
        <f t="shared" si="183"/>
        <v>1.8163553907671546</v>
      </c>
      <c r="Q223" s="63">
        <f t="shared" si="183"/>
        <v>-0.22816931981146601</v>
      </c>
      <c r="R223" s="63">
        <f t="shared" si="183"/>
        <v>-0.2301637780708651</v>
      </c>
      <c r="S223" s="63">
        <f t="shared" si="183"/>
        <v>1.2035656421152636</v>
      </c>
      <c r="T223" s="63">
        <f t="shared" si="183"/>
        <v>0.25911861226484295</v>
      </c>
      <c r="U223" s="52">
        <f t="shared" si="183"/>
        <v>0.99896177324949587</v>
      </c>
    </row>
    <row r="225" spans="1:29" s="64" customFormat="1" ht="15" customHeight="1" thickBot="1">
      <c r="A225" s="65" t="s">
        <v>388</v>
      </c>
      <c r="V225" s="347" t="s">
        <v>412</v>
      </c>
      <c r="W225" s="348" t="s">
        <v>413</v>
      </c>
      <c r="X225" s="348" t="s">
        <v>414</v>
      </c>
      <c r="Y225" s="348" t="s">
        <v>415</v>
      </c>
      <c r="Z225" s="348" t="s">
        <v>416</v>
      </c>
      <c r="AA225" s="348" t="s">
        <v>417</v>
      </c>
      <c r="AB225" s="348" t="s">
        <v>418</v>
      </c>
      <c r="AC225" s="348" t="s">
        <v>419</v>
      </c>
    </row>
    <row r="226" spans="1:29" s="12" customFormat="1" ht="15" customHeight="1" thickBot="1">
      <c r="A226" s="176" t="s">
        <v>381</v>
      </c>
      <c r="D226" s="92">
        <f>SUM(D227:D229)</f>
        <v>29.352</v>
      </c>
      <c r="E226" s="92">
        <f t="shared" ref="E226:F226" si="184">SUM(E227:E229)</f>
        <v>3.0170000000000101</v>
      </c>
      <c r="F226" s="92">
        <f t="shared" si="184"/>
        <v>31.461000000000009</v>
      </c>
      <c r="G226" s="71">
        <f t="shared" ref="G226:Y226" si="185">G227+G228</f>
        <v>-95.953000000000003</v>
      </c>
      <c r="H226" s="71">
        <f t="shared" si="185"/>
        <v>-85.585000000000008</v>
      </c>
      <c r="I226" s="71">
        <f t="shared" si="185"/>
        <v>104.30499999999999</v>
      </c>
      <c r="J226" s="71">
        <f t="shared" si="185"/>
        <v>10.629999999999995</v>
      </c>
      <c r="K226" s="55">
        <f>SUM(K227:K229)</f>
        <v>-66.381999999999991</v>
      </c>
      <c r="L226" s="71">
        <f t="shared" si="185"/>
        <v>-23.919</v>
      </c>
      <c r="M226" s="71">
        <f t="shared" si="185"/>
        <v>40.777000000000001</v>
      </c>
      <c r="N226" s="71">
        <f t="shared" si="185"/>
        <v>164.976</v>
      </c>
      <c r="O226" s="71">
        <f t="shared" si="185"/>
        <v>92.163000000000011</v>
      </c>
      <c r="P226" s="55">
        <f>SUM(P227:P229)</f>
        <v>266.81899999999996</v>
      </c>
      <c r="Q226" s="71">
        <f t="shared" si="185"/>
        <v>99.241000000000014</v>
      </c>
      <c r="R226" s="71">
        <f t="shared" si="185"/>
        <v>-34.003999999999998</v>
      </c>
      <c r="S226" s="71">
        <f t="shared" si="185"/>
        <v>177.52099999999999</v>
      </c>
      <c r="T226" s="71">
        <f t="shared" si="185"/>
        <v>37.923999999999999</v>
      </c>
      <c r="U226" s="55">
        <f>SUM(U227:U229)</f>
        <v>274.37799999999999</v>
      </c>
      <c r="V226" s="71">
        <f t="shared" si="185"/>
        <v>-8.0310000000000024</v>
      </c>
      <c r="W226" s="198">
        <f t="shared" si="185"/>
        <v>59.208839300000008</v>
      </c>
      <c r="X226" s="198">
        <f t="shared" si="185"/>
        <v>66.10272359999999</v>
      </c>
      <c r="Y226" s="198">
        <f t="shared" si="185"/>
        <v>42.910332010000005</v>
      </c>
      <c r="Z226" s="199">
        <f t="shared" ref="Z226:AC226" si="186">SUM(Z227:Z229)</f>
        <v>152.37089491</v>
      </c>
      <c r="AA226" s="199">
        <f t="shared" ca="1" si="186"/>
        <v>194.88587322800004</v>
      </c>
      <c r="AB226" s="199">
        <f t="shared" ca="1" si="186"/>
        <v>197.58822512902606</v>
      </c>
      <c r="AC226" s="199">
        <f t="shared" ca="1" si="186"/>
        <v>222.39136593211441</v>
      </c>
    </row>
    <row r="227" spans="1:29" ht="15" customHeight="1">
      <c r="A227" t="s">
        <v>386</v>
      </c>
      <c r="D227" s="45">
        <f>D220</f>
        <v>31.866</v>
      </c>
      <c r="E227" s="52">
        <f t="shared" ref="E227:AC227" si="187">E220</f>
        <v>2.7670000000000101</v>
      </c>
      <c r="F227" s="52">
        <f t="shared" si="187"/>
        <v>31.621000000000009</v>
      </c>
      <c r="G227" s="63">
        <f t="shared" si="187"/>
        <v>-95.953000000000003</v>
      </c>
      <c r="H227" s="63">
        <f t="shared" si="187"/>
        <v>-85.585000000000008</v>
      </c>
      <c r="I227" s="63">
        <f t="shared" si="187"/>
        <v>104.30499999999999</v>
      </c>
      <c r="J227" s="63">
        <f t="shared" si="187"/>
        <v>10.629999999999995</v>
      </c>
      <c r="K227" s="52">
        <f t="shared" si="187"/>
        <v>-66.602999999999994</v>
      </c>
      <c r="L227" s="63">
        <f t="shared" si="187"/>
        <v>-23.919</v>
      </c>
      <c r="M227" s="63">
        <f t="shared" si="187"/>
        <v>40.777000000000001</v>
      </c>
      <c r="N227" s="63">
        <f t="shared" si="187"/>
        <v>164.976</v>
      </c>
      <c r="O227" s="63">
        <f t="shared" si="187"/>
        <v>92.163000000000011</v>
      </c>
      <c r="P227" s="52">
        <f t="shared" si="187"/>
        <v>273.99699999999996</v>
      </c>
      <c r="Q227" s="63">
        <f t="shared" si="187"/>
        <v>-33.969000000000001</v>
      </c>
      <c r="R227" s="63">
        <f t="shared" si="187"/>
        <v>-34.003999999999998</v>
      </c>
      <c r="S227" s="63">
        <f t="shared" si="187"/>
        <v>177.52099999999999</v>
      </c>
      <c r="T227" s="63">
        <f t="shared" si="187"/>
        <v>37.783999999999999</v>
      </c>
      <c r="U227" s="52">
        <f t="shared" si="187"/>
        <v>147.33199999999999</v>
      </c>
      <c r="V227" s="63">
        <f t="shared" si="187"/>
        <v>-8.0310000000000024</v>
      </c>
      <c r="W227" s="114">
        <f t="shared" si="187"/>
        <v>59.208839300000008</v>
      </c>
      <c r="X227" s="114">
        <f t="shared" si="187"/>
        <v>66.10272359999999</v>
      </c>
      <c r="Y227" s="114">
        <f t="shared" si="187"/>
        <v>42.910332010000005</v>
      </c>
      <c r="Z227" s="104">
        <f t="shared" si="187"/>
        <v>160.19089491</v>
      </c>
      <c r="AA227" s="104">
        <f t="shared" ca="1" si="187"/>
        <v>199.88587322800004</v>
      </c>
      <c r="AB227" s="104">
        <f t="shared" ca="1" si="187"/>
        <v>202.58822512902606</v>
      </c>
      <c r="AC227" s="104">
        <f t="shared" ca="1" si="187"/>
        <v>227.39136593211441</v>
      </c>
    </row>
    <row r="228" spans="1:29" ht="15" customHeight="1">
      <c r="A228" t="s">
        <v>387</v>
      </c>
      <c r="D228" s="52">
        <v>7.0000000000000007E-2</v>
      </c>
      <c r="E228" s="52">
        <v>0.25</v>
      </c>
      <c r="F228" s="52">
        <v>0.05</v>
      </c>
      <c r="G228" s="63">
        <v>0</v>
      </c>
      <c r="H228" s="63">
        <v>0</v>
      </c>
      <c r="I228" s="63">
        <v>0</v>
      </c>
      <c r="J228" s="63">
        <v>0</v>
      </c>
      <c r="K228" s="52">
        <v>0.65</v>
      </c>
      <c r="L228" s="63">
        <v>0</v>
      </c>
      <c r="M228" s="63">
        <v>0</v>
      </c>
      <c r="N228" s="63">
        <v>0</v>
      </c>
      <c r="O228" s="63">
        <v>0</v>
      </c>
      <c r="P228" s="52">
        <v>0.2</v>
      </c>
      <c r="Q228" s="63">
        <v>133.21</v>
      </c>
      <c r="R228" s="63">
        <v>0</v>
      </c>
      <c r="S228" s="63">
        <v>0</v>
      </c>
      <c r="T228" s="63">
        <v>0.14000000000000001</v>
      </c>
      <c r="U228" s="52">
        <v>132.26</v>
      </c>
      <c r="V228" s="63">
        <v>0</v>
      </c>
      <c r="W228" s="114">
        <v>0</v>
      </c>
      <c r="X228" s="114">
        <v>0</v>
      </c>
      <c r="Y228" s="114">
        <v>0</v>
      </c>
      <c r="Z228" s="104">
        <v>0</v>
      </c>
      <c r="AA228" s="104">
        <v>0</v>
      </c>
      <c r="AB228" s="104">
        <v>0</v>
      </c>
      <c r="AC228" s="104">
        <v>0</v>
      </c>
    </row>
    <row r="229" spans="1:29" ht="15" customHeight="1">
      <c r="A229" t="s">
        <v>392</v>
      </c>
      <c r="D229" s="52">
        <v>-2.5840000000000001</v>
      </c>
      <c r="E229" s="52">
        <v>0</v>
      </c>
      <c r="F229" s="52">
        <v>-0.21</v>
      </c>
      <c r="G229" s="63"/>
      <c r="H229" s="63"/>
      <c r="I229" s="63"/>
      <c r="J229" s="63"/>
      <c r="K229" s="52">
        <v>-0.42899999999999999</v>
      </c>
      <c r="L229" s="63"/>
      <c r="M229" s="63"/>
      <c r="N229" s="63"/>
      <c r="O229" s="63"/>
      <c r="P229" s="52">
        <v>-7.3780000000000001</v>
      </c>
      <c r="Q229" s="63">
        <v>-3.82</v>
      </c>
      <c r="R229" s="63">
        <v>-0.38</v>
      </c>
      <c r="S229" s="63">
        <v>-0.65</v>
      </c>
      <c r="T229" s="63">
        <v>-0.36</v>
      </c>
      <c r="U229" s="52">
        <v>-5.2140000000000004</v>
      </c>
      <c r="V229" s="63">
        <v>-6.82</v>
      </c>
      <c r="W229" s="114"/>
      <c r="X229" s="114"/>
      <c r="Y229" s="114"/>
      <c r="Z229" s="104">
        <f>V229+-1</f>
        <v>-7.82</v>
      </c>
      <c r="AA229" s="104">
        <v>-5</v>
      </c>
      <c r="AB229" s="104">
        <v>-5</v>
      </c>
      <c r="AC229" s="104">
        <v>-5</v>
      </c>
    </row>
    <row r="231" spans="1:29" ht="15" customHeight="1">
      <c r="A231" t="s">
        <v>382</v>
      </c>
    </row>
    <row r="232" spans="1:29" ht="15" customHeight="1">
      <c r="A232" t="s">
        <v>389</v>
      </c>
      <c r="D232" s="298">
        <v>-6.8990000000000009</v>
      </c>
      <c r="E232" s="298">
        <v>126.50999999999999</v>
      </c>
      <c r="F232" s="298">
        <v>-1.921</v>
      </c>
      <c r="K232" s="52">
        <v>120.53899999999999</v>
      </c>
      <c r="P232" s="52">
        <v>-8.6189999999999998</v>
      </c>
      <c r="Q232" s="63">
        <v>-2.21</v>
      </c>
      <c r="R232" s="63">
        <v>-2.21</v>
      </c>
      <c r="S232" s="63">
        <v>-2.21</v>
      </c>
      <c r="T232" s="63">
        <f>-590.31+435.9</f>
        <v>-154.40999999999997</v>
      </c>
      <c r="U232" s="52">
        <v>-161.04300000000001</v>
      </c>
      <c r="V232" s="24">
        <v>-1.97</v>
      </c>
      <c r="W232" s="110">
        <v>-1.97</v>
      </c>
      <c r="X232" s="110">
        <v>-1.97</v>
      </c>
      <c r="Y232" s="110">
        <v>-1.97</v>
      </c>
      <c r="Z232" s="104">
        <f>V232*4</f>
        <v>-7.88</v>
      </c>
      <c r="AA232" s="104">
        <v>-7.88</v>
      </c>
      <c r="AB232" s="104">
        <v>-7.88</v>
      </c>
      <c r="AC232" s="104">
        <v>-7.88</v>
      </c>
    </row>
    <row r="233" spans="1:29" ht="15" customHeight="1">
      <c r="Q233" s="63"/>
      <c r="R233" s="63"/>
      <c r="S233" s="63"/>
      <c r="T233" s="63"/>
    </row>
    <row r="234" spans="1:29" ht="15" customHeight="1">
      <c r="A234" t="s">
        <v>383</v>
      </c>
      <c r="Q234" s="63"/>
      <c r="R234" s="63"/>
      <c r="S234" s="63"/>
      <c r="T234" s="63"/>
    </row>
    <row r="235" spans="1:29" ht="15" customHeight="1">
      <c r="A235" t="s">
        <v>391</v>
      </c>
      <c r="D235" s="52">
        <v>1.21</v>
      </c>
      <c r="E235" s="52">
        <v>-2.012</v>
      </c>
      <c r="F235" s="52">
        <v>5.9880000000000004</v>
      </c>
      <c r="K235" s="52">
        <v>-75.488</v>
      </c>
      <c r="P235" s="52">
        <v>-100.544</v>
      </c>
      <c r="Q235" s="63">
        <v>-100</v>
      </c>
      <c r="R235" s="63">
        <v>-24.99</v>
      </c>
      <c r="S235" s="63">
        <v>-50</v>
      </c>
      <c r="T235" s="63">
        <v>-67.510000000000005</v>
      </c>
      <c r="U235" s="52">
        <v>-221.65</v>
      </c>
      <c r="V235" s="63">
        <v>0</v>
      </c>
      <c r="Z235" s="197">
        <f>(Z98-U98)*55</f>
        <v>-81.577803889999387</v>
      </c>
      <c r="AA235" s="197">
        <f>(AA98-Z98)*68</f>
        <v>-119.13754240483286</v>
      </c>
      <c r="AB235" s="197">
        <f>(AB98-AA98)*85</f>
        <v>-122.61238739164</v>
      </c>
      <c r="AC235" s="197">
        <f>(AC98-AB98)*110</f>
        <v>-117.81607929661334</v>
      </c>
    </row>
    <row r="236" spans="1:29" ht="15" customHeight="1">
      <c r="Q236" s="63"/>
      <c r="R236" s="63"/>
      <c r="S236" s="63"/>
      <c r="T236" s="63"/>
    </row>
    <row r="237" spans="1:29" ht="15" customHeight="1">
      <c r="A237" t="s">
        <v>384</v>
      </c>
      <c r="Q237" s="63"/>
      <c r="R237" s="63"/>
      <c r="S237" s="63"/>
      <c r="T237" s="63"/>
    </row>
    <row r="238" spans="1:29" ht="15" customHeight="1">
      <c r="A238" t="s">
        <v>385</v>
      </c>
      <c r="D238" s="52">
        <v>0</v>
      </c>
      <c r="E238" s="52">
        <v>-18.452999999999999</v>
      </c>
      <c r="F238" s="52">
        <v>0</v>
      </c>
      <c r="K238" s="52">
        <v>-108.387</v>
      </c>
      <c r="P238" s="52">
        <v>-0.161</v>
      </c>
      <c r="Q238" s="63">
        <v>0</v>
      </c>
      <c r="R238" s="63">
        <v>-1.17</v>
      </c>
      <c r="S238" s="63">
        <v>-5.9</v>
      </c>
      <c r="T238" s="63">
        <v>0</v>
      </c>
      <c r="U238" s="52">
        <v>-5.9710000000000001</v>
      </c>
      <c r="V238" s="24">
        <v>-10.75</v>
      </c>
      <c r="Z238" s="299">
        <f>SUM(V238:Y238)</f>
        <v>-10.75</v>
      </c>
      <c r="AA238" s="299"/>
      <c r="AB238" s="299"/>
      <c r="AC238" s="299"/>
    </row>
    <row r="239" spans="1:29" ht="15" customHeight="1" thickBot="1"/>
    <row r="240" spans="1:29" s="12" customFormat="1" ht="15" customHeight="1" thickBot="1">
      <c r="A240" s="69" t="s">
        <v>390</v>
      </c>
      <c r="D240" s="55">
        <f>SUM(D238,D235,D232,D226)</f>
        <v>23.663</v>
      </c>
      <c r="E240" s="55">
        <f t="shared" ref="E240:F240" si="188">SUM(E238,E235,E232,E226)</f>
        <v>109.062</v>
      </c>
      <c r="F240" s="55">
        <f t="shared" si="188"/>
        <v>35.528000000000006</v>
      </c>
      <c r="G240" s="70"/>
      <c r="H240" s="70"/>
      <c r="I240" s="70"/>
      <c r="J240" s="70"/>
      <c r="K240" s="55">
        <f t="shared" ref="K240" si="189">SUM(K238,K235,K232,K226)</f>
        <v>-129.71800000000002</v>
      </c>
      <c r="L240" s="70"/>
      <c r="M240" s="70"/>
      <c r="N240" s="70"/>
      <c r="O240" s="70"/>
      <c r="P240" s="55">
        <f t="shared" ref="P240:T240" si="190">SUM(P238,P235,P232,P226)</f>
        <v>157.49499999999995</v>
      </c>
      <c r="Q240" s="71">
        <f t="shared" si="190"/>
        <v>-2.9689999999999799</v>
      </c>
      <c r="R240" s="71">
        <f t="shared" si="190"/>
        <v>-62.373999999999995</v>
      </c>
      <c r="S240" s="71">
        <f t="shared" si="190"/>
        <v>119.41099999999999</v>
      </c>
      <c r="T240" s="71">
        <f t="shared" si="190"/>
        <v>-183.99599999999995</v>
      </c>
      <c r="U240" s="55">
        <f t="shared" ref="U240:V240" si="191">SUM(U238,U235,U232,U226)</f>
        <v>-114.286</v>
      </c>
      <c r="V240" s="71">
        <f t="shared" si="191"/>
        <v>-20.751000000000005</v>
      </c>
      <c r="W240" s="109"/>
      <c r="X240" s="109"/>
      <c r="Y240" s="109"/>
      <c r="Z240" s="199">
        <f t="shared" ref="Z240:AC240" si="192">SUM(Z238,Z235,Z232,Z226)</f>
        <v>52.163091020000621</v>
      </c>
      <c r="AA240" s="199">
        <f t="shared" ca="1" si="192"/>
        <v>67.868330823167184</v>
      </c>
      <c r="AB240" s="199">
        <f t="shared" ca="1" si="192"/>
        <v>67.095837737386063</v>
      </c>
      <c r="AC240" s="199">
        <f t="shared" ca="1" si="192"/>
        <v>96.695286635501077</v>
      </c>
    </row>
  </sheetData>
  <phoneticPr fontId="5" type="noConversion"/>
  <hyperlinks>
    <hyperlink ref="U4" r:id="rId1" display="fdsup://factset/Doc Viewer Single?float_window=true&amp;positioning_strategy=center_on_screen&amp;_doc_docfn=U2FsdGVkX1+xio2prG3pfc+u2eNuow0WGDL8GIwKJgTHYXcchSOsKbKsjNomODu7ZUmDV19EELpaD/C9oyUe7jhisVFwSKLPUsN3ava5syE=&amp;_app_id=central_doc_viewer&amp;center_on_screen=true&amp;width=950&amp;height=800&amp;_dd2=%26f%3Dsld%26c%3Dtrue%26os%3D121510%26oe%3D121521" xr:uid="{00000000-0004-0000-0000-000000000000}"/>
    <hyperlink ref="K4" r:id="rId2" display="fdsup://factset/Doc Viewer Single?float_window=true&amp;positioning_strategy=center_on_screen&amp;_doc_docfn=U2FsdGVkX1/NmKP7e8fRi9+pQwEk7PgUSm/5swtD1UGU8peB2UY4DrpSO4KggAbSB4zN3do6NXWykxumcIbwgTLJsx1xXlXY1EtuJwxeGX0=&amp;_app_id=central_doc_viewer&amp;center_on_screen=true&amp;width=950&amp;height=800&amp;_dd2=%26f%3Dsld%26c%3Dtrue%26os%3D121896%26oe%3D121907" xr:uid="{00000000-0004-0000-0000-000002000000}"/>
    <hyperlink ref="F4" r:id="rId3" display="fdsup://factset/Doc Viewer Single?float_window=true&amp;positioning_strategy=center_on_screen&amp;_doc_docfn=U2FsdGVkX1/GQIEQVLuZhXEtCVL9f/LSSN2k0dbby4AQ2qp+navL5HkPfgbfTGPwlPxBqcTjurBodqAKYrWad/DvKsKpATnBPBC2r27IHZA=&amp;_app_id=central_doc_viewer&amp;center_on_screen=true&amp;width=950&amp;height=800&amp;_dd2=%26f%3Dsld%26c%3Dtrue%26os%3D119086%26oe%3D119097" xr:uid="{00000000-0004-0000-0000-000003000000}"/>
    <hyperlink ref="E4" r:id="rId4" display="fdsup://factset/Doc Viewer Single?float_window=true&amp;positioning_strategy=center_on_screen&amp;_doc_docfn=U2FsdGVkX1/ghY7+184Yk4uyOCSZ9JFAEjbzkcYeaspdaOImEzhpaqcz7/PAKyIBleTN+DufzQ5kd67iYDennKDRp3gQ6GKYc2YYIOyi3/M=&amp;_app_id=central_doc_viewer&amp;center_on_screen=true&amp;width=950&amp;height=800&amp;_dd2=%26f%3Dsld%26c%3Dtrue%26os%3D116661%26oe%3D116670" xr:uid="{00000000-0004-0000-0000-000004000000}"/>
    <hyperlink ref="D4" r:id="rId5" display="fdsup://factset/Doc Viewer Single?float_window=true&amp;positioning_strategy=center_on_screen&amp;_doc_docfn=U2FsdGVkX1+eI04YWIgE7DhMk1+MmwVuWGYEVQMMj5ago9qp8ue+6q+d/CFenf3XfA6mTXKezxz8unDHT8DFIdhHVUtgk9f7fXHP6Qt1Ei4=&amp;_app_id=central_doc_viewer&amp;center_on_screen=true&amp;width=950&amp;height=800&amp;_dd2=%26f%3Dsld%26c%3Dtrue%26os%3D157701%26oe%3D157710" xr:uid="{00000000-0004-0000-0000-000005000000}"/>
    <hyperlink ref="C4" r:id="rId6" display="fdsup://factset/Doc Viewer Single?float_window=true&amp;positioning_strategy=center_on_screen&amp;_doc_docfn=U2FsdGVkX19XqgvZPO8EW1zWnlow6vaVjHUciMf52cu1Yj6yGTr815kisqhmUbmeRIs25AJUyGl5LOqP5aQf7keifkBeT+5aIabG4OsrtvY=&amp;_app_id=central_doc_viewer&amp;center_on_screen=true&amp;width=950&amp;height=800&amp;_dd2=%26f%3Dsld%26c%3Dtrue%26os%3D160843%26oe%3D160850" xr:uid="{00000000-0004-0000-0000-000006000000}"/>
    <hyperlink ref="B4" r:id="rId7" display="fdsup://factset/Doc Viewer Single?float_window=true&amp;positioning_strategy=center_on_screen&amp;_doc_docfn=U2FsdGVkX1/uxuAaIkg8qhk8iKSI8RHB8H1pHcgVAIrGLliFWeSCxDd+BWYn4QPkTTzpH32xu/4uv8zf4AHmQ7liSYl0n1LSqHIMSuMvIHY=&amp;_app_id=central_doc_viewer&amp;center_on_screen=true&amp;width=950&amp;height=800&amp;_dd2=%26f%3Dsld%26c%3Dtrue%26os%3D1394726%26oe%3D1394733" xr:uid="{00000000-0004-0000-0000-000007000000}"/>
    <hyperlink ref="U17" r:id="rId8" display="fdsup://factset/Doc Viewer Single?float_window=true&amp;positioning_strategy=center_on_screen&amp;_doc_docfn=U2FsdGVkX19OKK4Umzt/wPdApHFpH7ZmK8iKfGEsQgRzhJ4T7iJ/Ja5ROW4nG9NY9gpftFWWwRXD88PN2i99Oc0gCP+oN9sC7/RCKv0nTuQ=&amp;_app_id=central_doc_viewer&amp;center_on_screen=true&amp;width=950&amp;height=800&amp;_dd2=%26f%3Dsld%26c%3Dtrue%26os%3D122189%26oe%3D122196" xr:uid="{00000000-0004-0000-0000-000008000000}"/>
    <hyperlink ref="P17" r:id="rId9" display="fdsup://factset/Doc Viewer Single?float_window=true&amp;positioning_strategy=center_on_screen&amp;_doc_docfn=U2FsdGVkX19trNoYQXZ8Tdomug2hne1/ak2mp5wYma2+Bf6n0D5YjoEKCzSBPQZWRaiYxwDN4T3K1Bjsi76uqO+dJCy5StDGv5d3d647GEU=&amp;_app_id=central_doc_viewer&amp;center_on_screen=true&amp;width=950&amp;height=800&amp;_dd2=%26f%3Dsld%26c%3Dtrue%26os%3D122382%26oe%3D122389" xr:uid="{00000000-0004-0000-0000-000009000000}"/>
    <hyperlink ref="K17" r:id="rId10" display="fdsup://factset/Doc Viewer Single?float_window=true&amp;positioning_strategy=center_on_screen&amp;_doc_docfn=U2FsdGVkX18jIA7Mo2rfE/J7K5qM9mdX3c4orxMy+7cbNUxx3ovy2fyOi/k/HikHstl89tIlC+LAalfA1Yk5+co9eVcrfDciHAkluIUTBCY=&amp;_app_id=central_doc_viewer&amp;center_on_screen=true&amp;width=950&amp;height=800&amp;_dd2=%26f%3Dsld%26c%3Dtrue%26os%3D122575%26oe%3D122582" xr:uid="{00000000-0004-0000-0000-00000A000000}"/>
    <hyperlink ref="F17" r:id="rId11" display="fdsup://factset/Doc Viewer Single?float_window=true&amp;positioning_strategy=center_on_screen&amp;_doc_docfn=U2FsdGVkX1+Z1mxRfCxa2GyphX/DZb8Spxc76voxgnEZm1/Rg8jrzJTFnFi6ztk2dBohdozTN8JbrGTFRue+sGLEC5JFU+Q+567MbvOXicw=&amp;_app_id=central_doc_viewer&amp;center_on_screen=true&amp;width=950&amp;height=800&amp;_dd2=%26f%3Dsld%26c%3Dtrue%26os%3D119771%26oe%3D119778" xr:uid="{00000000-0004-0000-0000-00000B000000}"/>
    <hyperlink ref="E17" r:id="rId12" display="fdsup://factset/Doc Viewer Single?float_window=true&amp;positioning_strategy=center_on_screen&amp;_doc_docfn=U2FsdGVkX19biiw59i3fOiqTro996UueSHTPXtUyecI8A9p41Zkxu3llzRR5Q/KWDh/zN4SHcVl9P0DNlLRBYMyni/wsMmM5DVcPlCLzrbg=&amp;_app_id=central_doc_viewer&amp;center_on_screen=true&amp;width=950&amp;height=800&amp;_dd2=%26f%3Dsld%26c%3Dtrue%26os%3D117365%26oe%3D117372" xr:uid="{00000000-0004-0000-0000-00000C000000}"/>
    <hyperlink ref="D17" r:id="rId13" display="fdsup://factset/Doc Viewer Single?float_window=true&amp;positioning_strategy=center_on_screen&amp;_doc_docfn=U2FsdGVkX1+2HWsdysooe+jqJpL0FdfVKPw2oUz7j2yRe2IqNVS3jfooTu94fRbDWc14pLZv/Fd7enz8eF9w1+ihcFyfny5MZTdUleFxvgI=&amp;_app_id=central_doc_viewer&amp;center_on_screen=true&amp;width=950&amp;height=800&amp;_dd2=%26f%3Dsld%26c%3Dtrue%26os%3D158405%26oe%3D158412" xr:uid="{00000000-0004-0000-0000-00000D000000}"/>
    <hyperlink ref="C17" r:id="rId14" display="fdsup://factset/Doc Viewer Single?float_window=true&amp;positioning_strategy=center_on_screen&amp;_doc_docfn=U2FsdGVkX18yCSZj3WUxZaKIQ9y0UJiBpjRpC7CHRBE1y/2kZ2vkpeunQnDNNnHMUeF7i3//7xOcoNf1ZK4m/CXGLGbvNRSl1BQQAXcz4ks=&amp;_app_id=central_doc_viewer&amp;center_on_screen=true&amp;width=950&amp;height=800&amp;_dd2=%26f%3Dsld%26c%3Dtrue%26os%3D161535%26oe%3D161542" xr:uid="{00000000-0004-0000-0000-00000E000000}"/>
    <hyperlink ref="B17" r:id="rId15" display="fdsup://factset/Doc Viewer Single?float_window=true&amp;positioning_strategy=center_on_screen&amp;_doc_docfn=U2FsdGVkX1/5fXBvUDIoJzIQpehKwt2fGjn/E0r4Io1sGP0fwSzU4DtUIHqphoRmOMhZ3jVpceAam8fZhjF/QxhI38qKBWKmqyFIxD1SxvU=&amp;_app_id=central_doc_viewer&amp;center_on_screen=true&amp;width=950&amp;height=800&amp;_dd2=%26f%3Dsld%26c%3Dtrue%26os%3D1395322%26oe%3D1395330" xr:uid="{00000000-0004-0000-0000-00000F000000}"/>
    <hyperlink ref="U39" r:id="rId16" display="fdsup://factset/Doc Viewer Single?float_window=true&amp;positioning_strategy=center_on_screen&amp;_doc_docfn=U2FsdGVkX19JrF9Owff9Jw87OiMglU+znPlXu4zM62xOJXUovvvhefu1RUHz11fEReYtJZz/aT5vEj6TG/pzkDgZ8abx1ZdwyjD42vaxVNQ=&amp;_app_id=central_doc_viewer&amp;center_on_screen=true&amp;width=950&amp;height=800&amp;_dd2=%26f%3Dsld%26c%3Dtrue%26os%3D122864%26oe%3D122871" xr:uid="{00000000-0004-0000-0000-000010000000}"/>
    <hyperlink ref="P39" r:id="rId17" display="fdsup://factset/Doc Viewer Single?float_window=true&amp;positioning_strategy=center_on_screen&amp;_doc_docfn=U2FsdGVkX19QpmS5SdYrNjmE/9L0AzoIZXwLiK7qtxaHeirs1vKNbfJX6P8/YeJsQGePoUSBGFvk15e0z40xaEehMVoaOAolEzoa51LqF9o=&amp;_app_id=central_doc_viewer&amp;center_on_screen=true&amp;width=950&amp;height=800&amp;_dd2=%26f%3Dsld%26c%3Dtrue%26os%3D123055%26oe%3D123062" xr:uid="{00000000-0004-0000-0000-000011000000}"/>
    <hyperlink ref="K39" r:id="rId18" display="fdsup://factset/Doc Viewer Single?float_window=true&amp;positioning_strategy=center_on_screen&amp;_doc_docfn=U2FsdGVkX19vZ/+P357qgeC4r5tK94TVX9FVhcTxfSXhkRyG/UCJCt0veJ0kqHL/XtfmD4nE6FvSqiF1UO7FmDg1gn2YiyVY9rs/vqL85Us=&amp;_app_id=central_doc_viewer&amp;center_on_screen=true&amp;width=950&amp;height=800&amp;_dd2=%26f%3Dsld%26c%3Dtrue%26os%3D123246%26oe%3D123253" xr:uid="{00000000-0004-0000-0000-000012000000}"/>
    <hyperlink ref="F39" r:id="rId19" display="fdsup://factset/Doc Viewer Single?float_window=true&amp;positioning_strategy=center_on_screen&amp;_doc_docfn=U2FsdGVkX18UlPa+0BtTVnqVGULtlnm36+BvHgzvNZB/np/yqySgBDA1P4hA03/Gg6oAcY/hOCqd9ujpEVrlNe/F5Rlw4J9sXwqdpBLo3QQ=&amp;_app_id=central_doc_viewer&amp;center_on_screen=true&amp;width=950&amp;height=800&amp;_dd2=%26f%3Dsld%26c%3Dtrue%26os%3D120448%26oe%3D120455" xr:uid="{00000000-0004-0000-0000-000013000000}"/>
    <hyperlink ref="E39" r:id="rId20" display="fdsup://factset/Doc Viewer Single?float_window=true&amp;positioning_strategy=center_on_screen&amp;_doc_docfn=U2FsdGVkX1/RhwmS9W9YfXp3z8lQM58g6XN9vBSdBXmE9iMB0z3FuIHxHUAtQtW/MEMl9/OA+eM+v6Oiosvlfp9XVGPSjm1PB1Jp1GfJJAo=&amp;_app_id=central_doc_viewer&amp;center_on_screen=true&amp;width=950&amp;height=800&amp;_dd2=%26f%3Dsld%26c%3Dtrue%26os%3D118063%26oe%3D118070" xr:uid="{00000000-0004-0000-0000-000014000000}"/>
    <hyperlink ref="D39" r:id="rId21" display="fdsup://factset/Doc Viewer Single?float_window=true&amp;positioning_strategy=center_on_screen&amp;_doc_docfn=U2FsdGVkX19deg3shr3rR7AoKcr1IKRr1aCvPwEKdsAQdDRmVFdSByWMWjF/2ifnH+BhGSmgyNfOiqIQISQxHy1SS+BoxMkjBkKaIy58tmo=&amp;_app_id=central_doc_viewer&amp;center_on_screen=true&amp;width=950&amp;height=800&amp;_dd2=%26f%3Dsld%26c%3Dtrue%26os%3D159103%26oe%3D159110" xr:uid="{00000000-0004-0000-0000-000015000000}"/>
    <hyperlink ref="C39" r:id="rId22" display="fdsup://factset/Doc Viewer Single?float_window=true&amp;positioning_strategy=center_on_screen&amp;_doc_docfn=U2FsdGVkX1+nJSFB+tY86IGa7HNn2kJgP9iG+k76/YeWljHKIf0FjobSIyIjZqFLU+sqTXaUgZYEh+ZRwlF2v68MWHZW8jrTMEw8DsnhsWs=&amp;_app_id=central_doc_viewer&amp;center_on_screen=true&amp;width=950&amp;height=800&amp;_dd2=%26f%3Dsld%26c%3Dtrue%26os%3D162221%26oe%3D162228" xr:uid="{00000000-0004-0000-0000-000016000000}"/>
    <hyperlink ref="B39" r:id="rId23" display="fdsup://factset/Doc Viewer Single?float_window=true&amp;positioning_strategy=center_on_screen&amp;_doc_docfn=U2FsdGVkX19YllD+Ce1uqIXCBtlO0TEd3cLAXYq2V7iWCGPbri4dsjw1BXg8PCBa8MYXwRtcoRZe2dHUNZHMnOLZVMt9k8Om2gf8UNAZivU=&amp;_app_id=central_doc_viewer&amp;center_on_screen=true&amp;width=950&amp;height=800&amp;_dd2=%26f%3Dsld%26c%3Dtrue%26os%3D1396591%26oe%3D1396598" xr:uid="{00000000-0004-0000-0000-000017000000}"/>
    <hyperlink ref="U45" r:id="rId24" display="fdsup://factset/Doc Viewer Single?float_window=true&amp;positioning_strategy=center_on_screen&amp;_doc_docfn=U2FsdGVkX1/hFc71GL+b/1uS5h4VAWWlDJIQO7vpuiMUd6X2rQ2VNoYSFu10w+hVvYuoHqS83YEWMJwi4ayNrYAPKWGPxjkF6FHfswUs+Dk=&amp;_app_id=central_doc_viewer&amp;center_on_screen=true&amp;width=950&amp;height=800&amp;_dd2=%26f%3Dsld%26c%3Dtrue%26os%3D123593%26oe%3D123600" xr:uid="{00000000-0004-0000-0000-000018000000}"/>
    <hyperlink ref="P45" r:id="rId25" display="fdsup://factset/Doc Viewer Single?float_window=true&amp;positioning_strategy=center_on_screen&amp;_doc_docfn=U2FsdGVkX1+iamGQ9U105a0ItTXKoG1gtD88/3/Bfz0qsKvuqrT196mjhwOOPk8kfUHAbR72tq7bDa2XZj+u73+QaWfMqqXiddbm9AkQ8QU=&amp;_app_id=central_doc_viewer&amp;center_on_screen=true&amp;width=950&amp;height=800&amp;_dd2=%26f%3Dsld%26c%3Dtrue%26os%3D123811%26oe%3D123818" xr:uid="{00000000-0004-0000-0000-000019000000}"/>
    <hyperlink ref="K45" r:id="rId26" display="fdsup://factset/Doc Viewer Single?float_window=true&amp;positioning_strategy=center_on_screen&amp;_doc_docfn=U2FsdGVkX18b25AH1ycvDgwUIZXaML9TxpOYHcN7MNtkobeTPSieb+3zA2zbI/vneaxQkCKnclx+WdbyfwIsJO6+/IcK2ZQ3+6hM+j4lZ4s=&amp;_app_id=central_doc_viewer&amp;center_on_screen=true&amp;width=950&amp;height=800&amp;_dd2=%26f%3Dsld%26c%3Dtrue%26os%3D124029%26oe%3D124036" xr:uid="{00000000-0004-0000-0000-00001A000000}"/>
    <hyperlink ref="F45" r:id="rId27" display="fdsup://factset/Doc Viewer Single?float_window=true&amp;positioning_strategy=center_on_screen&amp;_doc_docfn=U2FsdGVkX18xZBtsa+FZ5TqdP4NXThKxMdD+qu1UBr1BcRjg358AtIlpdsVhHFdoesqbNwTWZYxR4zqbwG2vwN91HXcTd4Gtg99kfuVO3No=&amp;_app_id=central_doc_viewer&amp;center_on_screen=true&amp;width=950&amp;height=800&amp;_dd2=%26f%3Dsld%26c%3Dtrue%26os%3D121237%26oe%3D121244" xr:uid="{00000000-0004-0000-0000-00001B000000}"/>
    <hyperlink ref="E45" r:id="rId28" display="fdsup://factset/Doc Viewer Single?float_window=true&amp;positioning_strategy=center_on_screen&amp;_doc_docfn=U2FsdGVkX18pp69bn3YjmVJWaqe4r7QLEhk3uamOdi9qI6WugnvDPldmXwzeMy0ySD8bA+gZF8RTsC9hXthaI5tfhci6Ss/6OyMyupJMGMA=&amp;_app_id=central_doc_viewer&amp;center_on_screen=true&amp;width=950&amp;height=800&amp;_dd2=%26f%3Dsld%26c%3Dtrue%26os%3D118873%26oe%3D118880" xr:uid="{00000000-0004-0000-0000-00001C000000}"/>
    <hyperlink ref="D45" r:id="rId29" display="fdsup://factset/Doc Viewer Single?float_window=true&amp;positioning_strategy=center_on_screen&amp;_doc_docfn=U2FsdGVkX18oOr8+CM+oiEcsDHIKHJMS1PIlmw5yqV9BckjawjlsJ4Ft792VxCIT5JNs/hraV0q3HAC3F4NE8bdb9PeAmbzggLkPQ5rGk0g=&amp;_app_id=central_doc_viewer&amp;center_on_screen=true&amp;width=950&amp;height=800&amp;_dd2=%26f%3Dsld%26c%3Dtrue%26os%3D159913%26oe%3D159920" xr:uid="{00000000-0004-0000-0000-00001D000000}"/>
    <hyperlink ref="C45" r:id="rId30" display="fdsup://factset/Doc Viewer Single?float_window=true&amp;positioning_strategy=center_on_screen&amp;_doc_docfn=U2FsdGVkX19WlEdKTX4RYH3NOntiKKE5fLpA7YUaQjHhP2DEx1U1jHfeR3ePJcv/IP1lEVzSxtLcxreQcCeaP09px6BCk8zn1y9HbkgzEWE=&amp;_app_id=central_doc_viewer&amp;center_on_screen=true&amp;width=950&amp;height=800&amp;_dd2=%26f%3Dsld%26c%3Dtrue%26os%3D163019%26oe%3D163026" xr:uid="{00000000-0004-0000-0000-00001E000000}"/>
    <hyperlink ref="B45" r:id="rId31" display="fdsup://factset/Doc Viewer Single?float_window=true&amp;positioning_strategy=center_on_screen&amp;_doc_docfn=U2FsdGVkX18Ijv8XCHrY8gMDW7yV35TlYVmUbNLrnawZtxUWxmxh8JxsNTonq8bDVS0HjhoHYmgePVx3Ap2WnKP/T7TTXzK/C33SIBqwiXo=&amp;_app_id=central_doc_viewer&amp;center_on_screen=true&amp;width=950&amp;height=800&amp;_dd2=%26f%3Dsld%26c%3Dtrue%26os%3D1397218%26oe%3D1397226" xr:uid="{00000000-0004-0000-0000-00001F000000}"/>
    <hyperlink ref="B64" r:id="rId32" display="fdsup://factset/Doc Viewer Single?float_window=true&amp;positioning_strategy=center_on_screen&amp;_doc_docfn=U2FsdGVkX198CSR5FgB/M/5H3YsF6Esjf5Kw5ijIYxjbMtl5HvQzgCSX2eRVqhApDLEbEtyB+E3r6HNxGCXTdZEnOvvMSvZuB/oZhmh4UOc=&amp;_app_id=central_doc_viewer&amp;center_on_screen=true&amp;width=950&amp;height=800&amp;_dd2=%26f%3Dsld%26c%3Dtrue%26os%3D1397866%26oe%3D1397873" xr:uid="{00000000-0004-0000-0000-000020000000}"/>
    <hyperlink ref="B65" r:id="rId33" display="fdsup://factset/Doc Viewer Single?float_window=true&amp;positioning_strategy=center_on_screen&amp;_doc_docfn=U2FsdGVkX1/uJN4CMVekU6okrIAJad0IOciJuJrT1EeX7j0NzqRnlFTp8UelUHu94G8ZvqW8xKyOHKYgVZwGkXA7QznarmH7VI7ahLtqH9I=&amp;_app_id=central_doc_viewer&amp;center_on_screen=true&amp;width=950&amp;height=800&amp;_dd2=%26f%3Dsld%26c%3Dtrue%26os%3D1398516%26oe%3D1398523" xr:uid="{00000000-0004-0000-0000-000021000000}"/>
    <hyperlink ref="U66" r:id="rId34" display="fdsup://factset/Doc Viewer Single?float_window=true&amp;positioning_strategy=center_on_screen&amp;_doc_docfn=U2FsdGVkX1/7sURqwpxCpqB+Pwb7l+AFnomblg8CIQICD9KR1ShGnoqfhbneMw5gF0IJVAQ0nxjaxBEP/fGOIyJEG89UphxWJ90yEsKe+zQ=&amp;_app_id=central_doc_viewer&amp;center_on_screen=true&amp;width=950&amp;height=800&amp;_dd2=%26f%3Dsld%26c%3Dtrue%26os%3D124327%26oe%3D124328" xr:uid="{00000000-0004-0000-0000-000022000000}"/>
    <hyperlink ref="P66" r:id="rId35" display="fdsup://factset/Doc Viewer Single?float_window=true&amp;positioning_strategy=center_on_screen&amp;_doc_docfn=U2FsdGVkX18pYcd5YeeTNsaTQo4cvFu0KjvRKCzMthL6fC+pB4VUbEYPKXgVv4m8B4U+0EwWx1x43lZojgdGbeAppxgU8Und2khDV8G3dSA=&amp;_app_id=central_doc_viewer&amp;center_on_screen=true&amp;width=950&amp;height=800&amp;_dd2=%26f%3Dsld%26c%3Dtrue%26os%3D124518%26oe%3D124523" xr:uid="{00000000-0004-0000-0000-000023000000}"/>
    <hyperlink ref="K66" r:id="rId36" display="fdsup://factset/Doc Viewer Single?float_window=true&amp;positioning_strategy=center_on_screen&amp;_doc_docfn=U2FsdGVkX1/DIAg7WhN7O8jWUnmgijCDXFfdu5jXUAZle7yaq3E00cR/38AWRPRPBKuPcjTFlHObBHPirK4Kp2G1f0AEKW2fI/Q9ukn15Rs=&amp;_app_id=central_doc_viewer&amp;center_on_screen=true&amp;width=950&amp;height=800&amp;_dd2=%26f%3Dsld%26c%3Dtrue%26os%3D124707%26oe%3D124708" xr:uid="{00000000-0004-0000-0000-000024000000}"/>
    <hyperlink ref="F66" r:id="rId37" display="fdsup://factset/Doc Viewer Single?float_window=true&amp;positioning_strategy=center_on_screen&amp;_doc_docfn=U2FsdGVkX18CTBEWdEXdMtSNhIrN4EAn7fnUALkq6JRQFsdRvWcd19sTmN6IQO03PZWXW09r0MKUWCmh4ubjVwQqEE3mPh30jJmI0eXFkZA=&amp;_app_id=central_doc_viewer&amp;center_on_screen=true&amp;width=950&amp;height=800&amp;_dd2=%26f%3Dsld%26c%3Dtrue%26os%3D121866%26oe%3D121871" xr:uid="{00000000-0004-0000-0000-000025000000}"/>
    <hyperlink ref="E66" r:id="rId38" display="fdsup://factset/Doc Viewer Single?float_window=true&amp;positioning_strategy=center_on_screen&amp;_doc_docfn=U2FsdGVkX1/JbUMr7HDurP+aT52chGTtKFc0RBOYUueHmObRbYDZUM1Da79MXYWZrYW1chg5NVwEE+FSXP2gax0fH7Jhi5ndN/x17+LY2cI=&amp;_app_id=central_doc_viewer&amp;center_on_screen=true&amp;width=950&amp;height=800&amp;_dd2=%26f%3Dsld%26c%3Dtrue%26os%3D119516%26oe%3D119521" xr:uid="{00000000-0004-0000-0000-000026000000}"/>
    <hyperlink ref="D66" r:id="rId39" display="fdsup://factset/Doc Viewer Single?float_window=true&amp;positioning_strategy=center_on_screen&amp;_doc_docfn=U2FsdGVkX195Y7O+GO+z5M0llCatmWdCPoJJONsfKaUpdDPFY39T9ZyQz23i1TzptAn47A6HczI1S09V0Stw6a48UhhMCqRSiv8iApk+1dM=&amp;_app_id=central_doc_viewer&amp;center_on_screen=true&amp;width=950&amp;height=800&amp;_dd2=%26f%3Dsld%26c%3Dtrue%26os%3D160634%26oe%3D160639" xr:uid="{00000000-0004-0000-0000-000027000000}"/>
    <hyperlink ref="C66" r:id="rId40" display="fdsup://factset/Doc Viewer Single?float_window=true&amp;positioning_strategy=center_on_screen&amp;_doc_docfn=U2FsdGVkX1/9ySW7voOPdaen6NVLXscGa/lE5NSUPGuwLrFKb3Zrf7rNCXTG6RPwaW9BQFqdKzqMH2GzErD5O5ARKiLhJBztcGEoVyzPjQA=&amp;_app_id=central_doc_viewer&amp;center_on_screen=true&amp;width=950&amp;height=800&amp;_dd2=%26f%3Dsld%26c%3Dtrue%26os%3D163728%26oe%3D163733" xr:uid="{00000000-0004-0000-0000-000028000000}"/>
    <hyperlink ref="B66" r:id="rId41" display="fdsup://factset/Doc Viewer Single?float_window=true&amp;positioning_strategy=center_on_screen&amp;_doc_docfn=U2FsdGVkX1/YMThf2h9Ia1nO7sQdo2blEw8t9tyVoAc3UwWt0igB+e8lHdKGeJYvzarGYoe4fG4GdfpiBROAwCuUUTfq+xdRAZtPNaKoJsU=&amp;_app_id=central_doc_viewer&amp;center_on_screen=true&amp;width=950&amp;height=800&amp;_dd2=%26f%3Dsld%26c%3Dtrue%26os%3D1399152%26oe%3D1399158" xr:uid="{00000000-0004-0000-0000-000029000000}"/>
    <hyperlink ref="U67" r:id="rId42" display="fdsup://factset/Doc Viewer Single?float_window=true&amp;positioning_strategy=center_on_screen&amp;_doc_docfn=U2FsdGVkX19P0a7wAzsAZVTmcWDsEQfHYRhyXSorrbQC0dxBj3RFTocp+1daRxWBz+Z4WUPI6bcrgl+cQ8v0HL+u6eTsw6w4wL+oZKz3M08=&amp;_app_id=central_doc_viewer&amp;center_on_screen=true&amp;width=950&amp;height=800&amp;_dd2=%26f%3Dsld%26c%3Dtrue%26os%3D125051%26oe%3D125056" xr:uid="{00000000-0004-0000-0000-00002A000000}"/>
    <hyperlink ref="P67" r:id="rId43" display="fdsup://factset/Doc Viewer Single?float_window=true&amp;positioning_strategy=center_on_screen&amp;_doc_docfn=U2FsdGVkX1/AQeu5hWGEC6itvIrZby9ylgehbD2roIXySSFrvyA7Rp+oGQ11TOd4x5iY2q/QeXzWzxMgRV16DaLpOPu68qjp0EEWg7q1AIM=&amp;_app_id=central_doc_viewer&amp;center_on_screen=true&amp;width=950&amp;height=800&amp;_dd2=%26f%3Dsld%26c%3Dtrue%26os%3D125264%26oe%3D125267" xr:uid="{00000000-0004-0000-0000-00002B000000}"/>
    <hyperlink ref="K67" r:id="rId44" display="fdsup://factset/Doc Viewer Single?float_window=true&amp;positioning_strategy=center_on_screen&amp;_doc_docfn=U2FsdGVkX1+V5auiil5L/E2VptRahdOa70gyGWht4vlKiGCAGzLTPAKqhIYeYnwlB/M3N+r1emIdb7zqfcMjr4HqV04PtF/JmhVP7tKXdq8=&amp;_app_id=central_doc_viewer&amp;center_on_screen=true&amp;width=950&amp;height=800&amp;_dd2=%26f%3Dsld%26c%3Dtrue%26os%3D125475%26oe%3D125478" xr:uid="{00000000-0004-0000-0000-00002C000000}"/>
    <hyperlink ref="F67" r:id="rId45" display="fdsup://factset/Doc Viewer Single?float_window=true&amp;positioning_strategy=center_on_screen&amp;_doc_docfn=U2FsdGVkX18w4VGpR7de90YeA4V9ug6Ttyf+dVoDOXnPGPaz0fonzz1TaxumdM/kWEFk5HrBIvC6SXsabxYRip7J0oodyyCqEHN+79GHnnA=&amp;_app_id=central_doc_viewer&amp;center_on_screen=true&amp;width=950&amp;height=800&amp;_dd2=%26f%3Dsld%26c%3Dtrue%26os%3D122642%26oe%3D122647" xr:uid="{00000000-0004-0000-0000-00002D000000}"/>
    <hyperlink ref="E67" r:id="rId46" display="fdsup://factset/Doc Viewer Single?float_window=true&amp;positioning_strategy=center_on_screen&amp;_doc_docfn=U2FsdGVkX1+L/pbDT9QMdqr2JbfsGDBSsVl+qPvhCnrABmwlSzLmBHv+bq8mcBuHJQ40AFGl9N8lcjZVaMsQaz7Qr3NdBQYnlXhstCAmAkQ=&amp;_app_id=central_doc_viewer&amp;center_on_screen=true&amp;width=950&amp;height=800&amp;_dd2=%26f%3Dsld%26c%3Dtrue%26os%3D120315%26oe%3D120318" xr:uid="{00000000-0004-0000-0000-00002E000000}"/>
    <hyperlink ref="D67" r:id="rId47" display="fdsup://factset/Doc Viewer Single?float_window=true&amp;positioning_strategy=center_on_screen&amp;_doc_docfn=U2FsdGVkX1+maHB97svnMc0D3drxzC0xMFTFy46zTbhZNqGHRohbJtH5GbcggADUFzZiK2kFnnyKWwWrjnUqeLxrf07TpUVFBWkPFzl19zU=&amp;_app_id=central_doc_viewer&amp;center_on_screen=true&amp;width=950&amp;height=800&amp;_dd2=%26f%3Dsld%26c%3Dtrue%26os%3D161434%26oe%3D161439" xr:uid="{00000000-0004-0000-0000-00002F000000}"/>
    <hyperlink ref="C67" r:id="rId48" display="fdsup://factset/Doc Viewer Single?float_window=true&amp;positioning_strategy=center_on_screen&amp;_doc_docfn=U2FsdGVkX18nfJAWGJ+02LE+H7BOThzAPxsU9wQhy7Yxs3O+Ziir/92H32DpBC8qF26gztzPdV/Vk+v2zqciL1B0P1SmG9/jvXi4qbsS9dw=&amp;_app_id=central_doc_viewer&amp;center_on_screen=true&amp;width=950&amp;height=800&amp;_dd2=%26f%3Dsld%26c%3Dtrue%26os%3D164515%26oe%3D164518" xr:uid="{00000000-0004-0000-0000-000030000000}"/>
    <hyperlink ref="B67" r:id="rId49" display="fdsup://factset/Doc Viewer Single?float_window=true&amp;positioning_strategy=center_on_screen&amp;_doc_docfn=U2FsdGVkX1/LucACkiu3bHgz2scvFFSsUp72bwCROvKobF0AHlTbqDmO0b9DGSMkbEPrWCQ3OHNVFbgSZB6cgoom+78ZVR1UHd3dCUYaQi0=&amp;_app_id=central_doc_viewer&amp;center_on_screen=true&amp;width=950&amp;height=800&amp;_dd2=%26f%3Dsld%26c%3Dtrue%26os%3D1399791%26oe%3D1399797" xr:uid="{00000000-0004-0000-0000-000031000000}"/>
    <hyperlink ref="U71" r:id="rId50" display="fdsup://factset/Doc Viewer Single?float_window=true&amp;positioning_strategy=center_on_screen&amp;_doc_docfn=U2FsdGVkX18frGe9nSEDubPY0KoFmUoYEdzhiYT1c70bAdvyYxaGx9y0WZMDmbJMf1z5c5avtx7z+6wzgJSTXUJKtWtnvRrkQrrAiE/UdxA=&amp;_app_id=central_doc_viewer&amp;center_on_screen=true&amp;width=950&amp;height=800&amp;_dd2=%26f%3Dsld%26c%3Dtrue%26os%3D125772%26oe%3D125779" xr:uid="{00000000-0004-0000-0000-000032000000}"/>
    <hyperlink ref="P71" r:id="rId51" display="fdsup://factset/Doc Viewer Single?float_window=true&amp;positioning_strategy=center_on_screen&amp;_doc_docfn=U2FsdGVkX1/Rgh0D83qlCyVuK/FAO5U7KvwvpKlqrf4kenFrCmBkE1/T7H2Z6fI39zbw2tBAm8K7AjN84RgrVMfFGW16BdBbDAmcDhY3aKE=&amp;_app_id=central_doc_viewer&amp;center_on_screen=true&amp;width=950&amp;height=800&amp;_dd2=%26f%3Dsld%26c%3Dtrue%26os%3D125971%26oe%3D125978" xr:uid="{00000000-0004-0000-0000-000033000000}"/>
    <hyperlink ref="K71" r:id="rId52" display="fdsup://factset/Doc Viewer Single?float_window=true&amp;positioning_strategy=center_on_screen&amp;_doc_docfn=U2FsdGVkX1812QPwDs4ZILetVd7Ku3IGNZhfXT54WhY1UkU0sH3B9L1ISoxva3VzwsFFNAwmq/silKtDtlQXLH0S9hOEmE8hAkRy0rF0WII=&amp;_app_id=central_doc_viewer&amp;center_on_screen=true&amp;width=950&amp;height=800&amp;_dd2=%26f%3Dsld%26c%3Dtrue%26os%3D126170%26oe%3D126177" xr:uid="{00000000-0004-0000-0000-000034000000}"/>
    <hyperlink ref="F71" r:id="rId53" display="fdsup://factset/Doc Viewer Single?float_window=true&amp;positioning_strategy=center_on_screen&amp;_doc_docfn=U2FsdGVkX1+HVt3PfWCQD585ueu1zPawrm8iQxfc27PFk4Wzc1IvatNxZtxGB34gGkzMkVHQ45VlXvL4gTXKjzsH/J7mmsbCefW3+46NLXg=&amp;_app_id=central_doc_viewer&amp;center_on_screen=true&amp;width=950&amp;height=800&amp;_dd2=%26f%3Dsld%26c%3Dtrue%26os%3D123345%26oe%3D123352" xr:uid="{00000000-0004-0000-0000-000035000000}"/>
    <hyperlink ref="E71" r:id="rId54" display="fdsup://factset/Doc Viewer Single?float_window=true&amp;positioning_strategy=center_on_screen&amp;_doc_docfn=U2FsdGVkX18qF+uxwOiMUuU4/xcSHkHEPL514fGin8cqYvirFqEEPUgA7XhkgMKynBghMEMYBMGtT80tU9FT3/+4LhkzkVxumapVUI/NOhk=&amp;_app_id=central_doc_viewer&amp;center_on_screen=true&amp;width=950&amp;height=800&amp;_dd2=%26f%3Dsld%26c%3Dtrue%26os%3D121043%26oe%3D121051" xr:uid="{00000000-0004-0000-0000-000036000000}"/>
    <hyperlink ref="D71" r:id="rId55" display="fdsup://factset/Doc Viewer Single?float_window=true&amp;positioning_strategy=center_on_screen&amp;_doc_docfn=U2FsdGVkX1+QOw0JtjXcCBcplptNin1wf3fZwG1jrA2yB9XTQEbAuhjiZ7mpKbHGp1pd7ye/pZ1T2PPAKFglYOKZkNDQECFYaG0gNNW7Y8Q=&amp;_app_id=central_doc_viewer&amp;center_on_screen=true&amp;width=950&amp;height=800&amp;_dd2=%26f%3Dsld%26c%3Dtrue%26os%3D162164%26oe%3D162170" xr:uid="{00000000-0004-0000-0000-000037000000}"/>
    <hyperlink ref="C71" r:id="rId56" display="fdsup://factset/Doc Viewer Single?float_window=true&amp;positioning_strategy=center_on_screen&amp;_doc_docfn=U2FsdGVkX19aB5zujJeNqjkOtL6GZArkgF5XkhPWkTyyS2V4JG4jsX2c5+bC43JkNw8cpBO1xMWtVKfyEVKpyQvswMXUzAL69R3VIJHUkU0=&amp;_app_id=central_doc_viewer&amp;center_on_screen=true&amp;width=950&amp;height=800&amp;_dd2=%26f%3Dsld%26c%3Dtrue%26os%3D165229%26oe%3D165235" xr:uid="{00000000-0004-0000-0000-000038000000}"/>
    <hyperlink ref="B71" r:id="rId57" display="fdsup://factset/Doc Viewer Single?float_window=true&amp;positioning_strategy=center_on_screen&amp;_doc_docfn=U2FsdGVkX1+s7fN8Kuu3nMTZvsMocIGr1BkQ9sCUJ/GXUdGigXNUyhNaheLXiFH8Mm1GIxXH75haDCENFYy4e23IrcA20bj3AlsTRgx2olc=&amp;_app_id=central_doc_viewer&amp;center_on_screen=true&amp;width=950&amp;height=800&amp;_dd2=%26f%3Dsld%26c%3Dtrue%26os%3D1401068%26oe%3D1401075" xr:uid="{00000000-0004-0000-0000-000039000000}"/>
    <hyperlink ref="U75" r:id="rId58" display="fdsup://factset/Doc Viewer Single?float_window=true&amp;positioning_strategy=center_on_screen&amp;_doc_docfn=U2FsdGVkX1+G1sdW8OhCDLwO3LFkB76RRS+o1VqKOL11hHY2Gv1DZSbAALQ4Xf1wydM/cq6j2/KEQT/WlleeDkLkFSHuAJQosOm307no1FY=&amp;_app_id=central_doc_viewer&amp;center_on_screen=true&amp;width=950&amp;height=800&amp;_dd2=%26f%3Dsld%26c%3Dtrue%26os%3D128243%26oe%3D128248" xr:uid="{00000000-0004-0000-0000-00003A000000}"/>
    <hyperlink ref="P75" r:id="rId59" display="fdsup://factset/Doc Viewer Single?float_window=true&amp;positioning_strategy=center_on_screen&amp;_doc_docfn=U2FsdGVkX1/A3IOpRbIS5Zh8RMEEbE6euSrXgWBdXsHAf4w1Cn4o1Do4EePVD3Vw1BKjcur41/dvd/yxWXY5LVAJFTIZshE13e6qEb2z40g=&amp;_app_id=central_doc_viewer&amp;center_on_screen=true&amp;width=950&amp;height=800&amp;_dd2=%26f%3Dsld%26c%3Dtrue%26os%3D128450%26oe%3D128456" xr:uid="{00000000-0004-0000-0000-00003B000000}"/>
    <hyperlink ref="K75" r:id="rId60" display="fdsup://factset/Doc Viewer Single?float_window=true&amp;positioning_strategy=center_on_screen&amp;_doc_docfn=U2FsdGVkX1+AJ5Zw1sYyxoi30gSNLenb7HOE+KclZi5NfcZiYoVc1NBWQ7NRkAGytYPSkltAgAtbnSVoR9RVEGGGdXkb9S0WAGoyB+Y8TQ4=&amp;_app_id=central_doc_viewer&amp;center_on_screen=true&amp;width=950&amp;height=800&amp;_dd2=%26f%3Dsld%26c%3Dtrue%26os%3D128658%26oe%3D128664" xr:uid="{00000000-0004-0000-0000-00003C000000}"/>
    <hyperlink ref="F75" r:id="rId61" display="fdsup://factset/Doc Viewer Single?float_window=true&amp;positioning_strategy=center_on_screen&amp;_doc_docfn=U2FsdGVkX1/1FVV/ue1xOnvu9ylD+yugWCHzyEnDVjEE82koUyNLWR4QB1wvnzANkdwKfl5T0Cp1djWOiPKVSer/92o6+BfXXTXjox2++L4=&amp;_app_id=central_doc_viewer&amp;center_on_screen=true&amp;width=950&amp;height=800&amp;_dd2=%26f%3Dsld%26c%3Dtrue%26os%3D125067%26oe%3D125073" xr:uid="{00000000-0004-0000-0000-00003D000000}"/>
    <hyperlink ref="E75" r:id="rId62" display="fdsup://factset/Doc Viewer Single?float_window=true&amp;positioning_strategy=center_on_screen&amp;_doc_docfn=U2FsdGVkX181/hldylS7gGb0ksn1jlt//pX14gbIbZoRZiQmnG4lO2j2q00QBncF8xF5BqTAJ7w0Ai26gKH3LJxrQvaFAKUO36CAnnRmg+s=&amp;_app_id=central_doc_viewer&amp;center_on_screen=true&amp;width=950&amp;height=800&amp;_dd2=%26f%3Dsld%26c%3Dtrue%26os%3D123392%26oe%3D123399" xr:uid="{00000000-0004-0000-0000-00003E000000}"/>
    <hyperlink ref="D75" r:id="rId63" display="fdsup://factset/Doc Viewer Single?float_window=true&amp;positioning_strategy=center_on_screen&amp;_doc_docfn=U2FsdGVkX19gSI4RUO6/DAYoOfxE64Uz9LndBc7J1TWOx/VIYX3y1j1fmsyVtcYcXhNpgQSYhSEA+ppScUjAaH8gm2pzwtYmTvMCk1b9HX8=&amp;_app_id=central_doc_viewer&amp;center_on_screen=true&amp;width=950&amp;height=800&amp;_dd2=%26f%3Dsld%26c%3Dtrue%26os%3D164512%26oe%3D164518" xr:uid="{00000000-0004-0000-0000-00003F000000}"/>
    <hyperlink ref="C75" r:id="rId64" display="fdsup://factset/Doc Viewer Single?float_window=true&amp;positioning_strategy=center_on_screen&amp;_doc_docfn=U2FsdGVkX19iapkr+7B9tKIvFU//krMId/JHGA4+c/VdZhWkDrnZVqPo5+6sVaNYOCi7uJ4eItpOnb6vW1bfln5GpJnU6iR/3O/zPNjpjFI=&amp;_app_id=central_doc_viewer&amp;center_on_screen=true&amp;width=950&amp;height=800&amp;_dd2=%26f%3Dsld%26c%3Dtrue%26os%3D167549%26oe%3D167555" xr:uid="{00000000-0004-0000-0000-000040000000}"/>
    <hyperlink ref="B75" r:id="rId65" display="fdsup://factset/Doc Viewer Single?float_window=true&amp;positioning_strategy=center_on_screen&amp;_doc_docfn=U2FsdGVkX1+3YZTW+qFdNWd82iQgJxbmT7dHRRJ0XXBLEZMBQw776XozbofRsHOvhVqkKgjzbhcoxfmhrTsxrnIUOm/TftgREHdHc5/ZrvQ=&amp;_app_id=central_doc_viewer&amp;center_on_screen=true&amp;width=950&amp;height=800&amp;_dd2=%26f%3Dsld%26c%3Dtrue%26os%3D1404116%26oe%3D1404123" xr:uid="{00000000-0004-0000-0000-000041000000}"/>
    <hyperlink ref="U76" r:id="rId66" display="fdsup://factset/Doc Viewer Single?float_window=true&amp;positioning_strategy=center_on_screen&amp;_doc_docfn=U2FsdGVkX19sK/q3z+ZnRHLbRzfaxvy/tY17xvFriWfcf5MAltVjaonn9TjeCZSBAyJ4W/rR4R4gueda9MQkUviVF9PjiZjH7Zzckcph8c8=&amp;_app_id=central_doc_viewer&amp;center_on_screen=true&amp;width=950&amp;height=800&amp;_dd2=%26f%3Dsld%26c%3Dtrue%26os%3D126809%26oe%3D126815" xr:uid="{00000000-0004-0000-0000-000042000000}"/>
    <hyperlink ref="P76" r:id="rId67" display="fdsup://factset/Doc Viewer Single?float_window=true&amp;positioning_strategy=center_on_screen&amp;_doc_docfn=U2FsdGVkX1/0LEVEsUIpQZBKNa90FsJqLRGHLDIgPrZGPbcZ+/3HYR7eP5anUB4Blr8fpOiVe1QL8eP1g4porbZ7r2x3EArCqWMNoNkRH2o=&amp;_app_id=central_doc_viewer&amp;center_on_screen=true&amp;width=950&amp;height=800&amp;_dd2=%26f%3Dsld%26c%3Dtrue%26os%3D127023%26oe%3D127029" xr:uid="{00000000-0004-0000-0000-000043000000}"/>
    <hyperlink ref="K76" r:id="rId68" display="fdsup://factset/Doc Viewer Single?float_window=true&amp;positioning_strategy=center_on_screen&amp;_doc_docfn=U2FsdGVkX1//54xUQdrFYWZ+7ByFDkFmlGuwYB+oE+BcRHx28iymmwYU751EMTxJ54WJ/EaP7YoUUdRHLnnACLrTtoj0yENRpRVJpoDNYZI=&amp;_app_id=central_doc_viewer&amp;center_on_screen=true&amp;width=950&amp;height=800&amp;_dd2=%26f%3Dsld%26c%3Dtrue%26os%3D127237%26oe%3D127243" xr:uid="{00000000-0004-0000-0000-000044000000}"/>
    <hyperlink ref="F76" r:id="rId69" display="fdsup://factset/Doc Viewer Single?float_window=true&amp;positioning_strategy=center_on_screen&amp;_doc_docfn=U2FsdGVkX1/Uecvzhn1/5iHwEPeUtVuQv6jWCfofyew8irwUU8s2y0IHMdQRBaOM+nqRAQeeXrbPB1jziXHLyCEt3crIouW9vhK18aPxL2g=&amp;_app_id=central_doc_viewer&amp;center_on_screen=true&amp;width=950&amp;height=800&amp;_dd2=%26f%3Dsld%26c%3Dtrue%26os%3D124382%26oe%3D124388" xr:uid="{00000000-0004-0000-0000-000045000000}"/>
    <hyperlink ref="E76" r:id="rId70" display="fdsup://factset/Doc Viewer Single?float_window=true&amp;positioning_strategy=center_on_screen&amp;_doc_docfn=U2FsdGVkX19skdWADGVnO0Pub4bhY/IZhl5UTzbh0Q3j1PaRthIkIyarS2SmQdI2Y53g+IDUGO5MCemAgvp9L2i1FTHLvQKjEfeIOfjz8E4=&amp;_app_id=central_doc_viewer&amp;center_on_screen=true&amp;width=950&amp;height=800&amp;_dd2=%26f%3Dsld%26c%3Dtrue%26os%3D122070%26oe%3D122076" xr:uid="{00000000-0004-0000-0000-000046000000}"/>
    <hyperlink ref="D76" r:id="rId71" display="fdsup://factset/Doc Viewer Single?float_window=true&amp;positioning_strategy=center_on_screen&amp;_doc_docfn=U2FsdGVkX1/uCWkyE6Ag7WzTjU1adH/GcLx7/6t8U2UY0KOGwHBJIN6OR0X4ug78Z7MMWLe8uzDfXGrPkCn2gxig8bzapLVQyyHJfnpFiqg=&amp;_app_id=central_doc_viewer&amp;center_on_screen=true&amp;width=950&amp;height=800&amp;_dd2=%26f%3Dsld%26c%3Dtrue%26os%3D163189%26oe%3D163195" xr:uid="{00000000-0004-0000-0000-000047000000}"/>
    <hyperlink ref="C76" r:id="rId72" display="fdsup://factset/Doc Viewer Single?float_window=true&amp;positioning_strategy=center_on_screen&amp;_doc_docfn=U2FsdGVkX19sNwRnu/vMKvY2yGgu/QWLFLxwFko3S3JITBC5DRJ1tJGtLIEuDAy1o1iBQ5w5x9VEAhR8oaOR3RAPtDPAuyl8l71tIqwO9wo=&amp;_app_id=central_doc_viewer&amp;center_on_screen=true&amp;width=950&amp;height=800&amp;_dd2=%26f%3Dsld%26c%3Dtrue%26os%3D166242%26oe%3D166248" xr:uid="{00000000-0004-0000-0000-000048000000}"/>
    <hyperlink ref="B76" r:id="rId73" display="fdsup://factset/Doc Viewer Single?float_window=true&amp;positioning_strategy=center_on_screen&amp;_doc_docfn=U2FsdGVkX1+yCGDJDgBrZ+rZSHr3mAV8562JUt16KyKygUrw9iNbYuHCD3/FX8Vn+GWoD0AvsXS+eFRjvH5sFEQj2d5zff+gHVH0czouZSc=&amp;_app_id=central_doc_viewer&amp;center_on_screen=true&amp;width=950&amp;height=800&amp;_dd2=%26f%3Dsld%26c%3Dtrue%26os%3D1402857%26oe%3D1402864" xr:uid="{00000000-0004-0000-0000-000049000000}"/>
    <hyperlink ref="E80" r:id="rId74" display="fdsup://factset/Doc Viewer Single?float_window=true&amp;positioning_strategy=center_on_screen&amp;_doc_docfn=U2FsdGVkX1+kRj3hQX6dsh5eyfj3AuJXl3qA6kAfunjZPrFKSgbnUStOBuP8gNX73dsZ94zSjhDrAPEobyrHBWNR0O1cRdkZx4/mOLT+nfk=&amp;_app_id=central_doc_viewer&amp;center_on_screen=true&amp;width=950&amp;height=800&amp;_dd2=%26f%3Dsld%26c%3Dtrue%26os%3D122685%26oe%3D122691" xr:uid="{00000000-0004-0000-0000-00004A000000}"/>
    <hyperlink ref="D80" r:id="rId75" display="fdsup://factset/Doc Viewer Single?float_window=true&amp;positioning_strategy=center_on_screen&amp;_doc_docfn=U2FsdGVkX19DDBU1kXOK8b8D2Ixfb7JrIG/pr92sM71+9OZf0E7C+7lPCfSvH8Xtji/qKS/b4rNdBa1jsYDqjHEuJBESvh8XgCJPHtPdDz8=&amp;_app_id=central_doc_viewer&amp;center_on_screen=true&amp;width=950&amp;height=800&amp;_dd2=%26f%3Dsld%26c%3Dtrue%26os%3D163791%26oe%3D163792" xr:uid="{00000000-0004-0000-0000-00004B000000}"/>
    <hyperlink ref="C80" r:id="rId76" display="fdsup://factset/Doc Viewer Single?float_window=true&amp;positioning_strategy=center_on_screen&amp;_doc_docfn=U2FsdGVkX1//WsHhrsvGGXtxNqBFCIzzJYTozsA66i99Rx1GwV5Q8eoJaMy+P5yJ913upzUuwcaqIIzZrYXXZmuO7agp2HclcqL0MO9FjAY=&amp;_app_id=central_doc_viewer&amp;center_on_screen=true&amp;width=950&amp;height=800&amp;_dd2=%26f%3Dsld%26c%3Dtrue%26os%3D166840%26oe%3D166841" xr:uid="{00000000-0004-0000-0000-00004C000000}"/>
    <hyperlink ref="U81" r:id="rId77" display="fdsup://factset/Doc Viewer Single?float_window=true&amp;positioning_strategy=center_on_screen&amp;_doc_docfn=U2FsdGVkX1/vrS6zSTeSWYoytpiGsCPsWoVNaEeAgG2eouRE4IdFcwfGvCk3pJGeUAlKp5jDqJqKbm9VOXN8aBbEiEZ7lYcUGR1gsl1oXmQ=&amp;_app_id=central_doc_viewer&amp;center_on_screen=true&amp;width=950&amp;height=800&amp;_dd2=%26f%3Dsld%26c%3Dtrue%26os%3D127548%26oe%3D127556" xr:uid="{00000000-0004-0000-0000-00004D000000}"/>
    <hyperlink ref="P81" r:id="rId78" display="fdsup://factset/Doc Viewer Single?float_window=true&amp;positioning_strategy=center_on_screen&amp;_doc_docfn=U2FsdGVkX19FZlNCVua3ALxBO9IyRcqVFH9lZwAzfr+3Bei1e/3wLDX9XEoG5E0SmM/5XD44QuhTcB2pjz35HB0yg3S6GM4RELvKXeSfYdU=&amp;_app_id=central_doc_viewer&amp;center_on_screen=true&amp;width=950&amp;height=800&amp;_dd2=%26f%3Dsld%26c%3Dtrue%26os%3D127745%26oe%3D127746" xr:uid="{00000000-0004-0000-0000-00004E000000}"/>
    <hyperlink ref="K81" r:id="rId79" display="fdsup://factset/Doc Viewer Single?float_window=true&amp;positioning_strategy=center_on_screen&amp;_doc_docfn=U2FsdGVkX1+IOynVZ0solLp435Ip80WCZZITYB9nbUrQegblkPS4xw66VFkiH0c1KpCg16rNi4SiyxOFOEQudyKoRNNmEiGBBESc8avoIjk=&amp;_app_id=central_doc_viewer&amp;center_on_screen=true&amp;width=950&amp;height=800&amp;_dd2=%26f%3Dsld%26c%3Dtrue%26os%3D127935%26oe%3D127936" xr:uid="{00000000-0004-0000-0000-00004F000000}"/>
    <hyperlink ref="U82" r:id="rId80" display="fdsup://factset/Doc Viewer Single?float_window=true&amp;positioning_strategy=center_on_screen&amp;_doc_docfn=U2FsdGVkX18YeZJ+uaM3QNEHMGBQl49tE4lEJzD9EwhxRziwXBdv7ceLIc3KvbdkyGIT3usfYeuFD/e2cUp8DbtGQpx22dZhgDRgLxS+cP0=&amp;_app_id=central_doc_viewer&amp;center_on_screen=true&amp;width=950&amp;height=800&amp;_dd2=%26f%3Dsld%26c%3Dtrue%26os%3D129040%26oe%3D129047" xr:uid="{00000000-0004-0000-0000-000050000000}"/>
    <hyperlink ref="P82" r:id="rId81" display="fdsup://factset/Doc Viewer Single?float_window=true&amp;positioning_strategy=center_on_screen&amp;_doc_docfn=U2FsdGVkX18xYJoSwtOAEDxNGU4ZTvBpkPTKO7xhIR6iSKuxoXMerFvRMnZdU5l0fOLoxXBjyRbw0XQnV/aNRFGoPbqd3hI/E0g/4Y1w+QA=&amp;_app_id=central_doc_viewer&amp;center_on_screen=true&amp;width=950&amp;height=800&amp;_dd2=%26f%3Dsld%26c%3Dtrue%26os%3D129310%26oe%3D129316" xr:uid="{00000000-0004-0000-0000-000051000000}"/>
    <hyperlink ref="K82" r:id="rId82" display="fdsup://factset/Doc Viewer Single?float_window=true&amp;positioning_strategy=center_on_screen&amp;_doc_docfn=U2FsdGVkX1+PYkbakj7FzQ8mfs4/dGWVcsK2qyHhGLo/89x7y1kvVJsvhPYDLPN9PU7AwvGNbYozQ3MaiAbQV0UKBMMd/fsk0o33Qdg4g00=&amp;_app_id=central_doc_viewer&amp;center_on_screen=true&amp;width=950&amp;height=800&amp;_dd2=%26f%3Dsld%26c%3Dtrue%26os%3D129579%26oe%3D129585" xr:uid="{00000000-0004-0000-0000-000052000000}"/>
    <hyperlink ref="F82" r:id="rId83" display="fdsup://factset/Doc Viewer Single?float_window=true&amp;positioning_strategy=center_on_screen&amp;_doc_docfn=U2FsdGVkX19AranusuIGhmUXCBf45Oi/aH0u90CwwNIQu6jh6esnKvQ0RF1JLXxaTG+mR8ge0c+e5cd8ReC2OTKCDxapUH9XpZ3WHXJ1w6M=&amp;_app_id=central_doc_viewer&amp;center_on_screen=true&amp;width=950&amp;height=800&amp;_dd2=%26f%3Dsld%26c%3Dtrue%26os%3D126002%26oe%3D126009" xr:uid="{00000000-0004-0000-0000-000053000000}"/>
    <hyperlink ref="E82" r:id="rId84" display="fdsup://factset/Doc Viewer Single?float_window=true&amp;positioning_strategy=center_on_screen&amp;_doc_docfn=U2FsdGVkX19ZXA8bnR8o056SzLTnl9+/q++imj1B+gcevl6OeUGKq5rz7wb5g6V4we7QOJGWnhSdY2V+Q94MQORb+cUISXPqVOBdYcp91gA=&amp;_app_id=central_doc_viewer&amp;center_on_screen=true&amp;width=950&amp;height=800&amp;_dd2=%26f%3Dsld%26c%3Dtrue%26os%3D124351%26oe%3D124360" xr:uid="{00000000-0004-0000-0000-000054000000}"/>
    <hyperlink ref="D82" r:id="rId85" display="fdsup://factset/Doc Viewer Single?float_window=true&amp;positioning_strategy=center_on_screen&amp;_doc_docfn=U2FsdGVkX1+14Lbkh1GP71w8n10BZj5y3rJyx3t9ruT+24BCibfHtA1Xd7yWaHyzmu3HD8336BYq/Ct/DAPqFeZMTKuXzxqto4Msy9C9Nc0=&amp;_app_id=central_doc_viewer&amp;center_on_screen=true&amp;width=950&amp;height=800&amp;_dd2=%26f%3Dsld%26c%3Dtrue%26os%3D165471%26oe%3D165479" xr:uid="{00000000-0004-0000-0000-000055000000}"/>
    <hyperlink ref="C82" r:id="rId86" display="fdsup://factset/Doc Viewer Single?float_window=true&amp;positioning_strategy=center_on_screen&amp;_doc_docfn=U2FsdGVkX19Rue2sNAXs0NL7+1S3WpBfWNbNtQKo8BqC0HgH5aNv6Lp2cw64kVCSdPyP/oXj/Rf+UlhDZ9qoD8LxOxuo2ZLlH6lYFc1OysE=&amp;_app_id=central_doc_viewer&amp;center_on_screen=true&amp;width=950&amp;height=800&amp;_dd2=%26f%3Dsld%26c%3Dtrue%26os%3D168496%26oe%3D168504" xr:uid="{00000000-0004-0000-0000-000056000000}"/>
    <hyperlink ref="B82" r:id="rId87" display="fdsup://factset/Doc Viewer Single?float_window=true&amp;positioning_strategy=center_on_screen&amp;_doc_docfn=U2FsdGVkX18Ygb6f8U2fmDwffHYIiXn/P4b8ZLE+GEDEm40JfHhf0hx4KWsohhvcdQCLW9p7mSUEIl16fPMggujwBakmUSqCYph+E8Q3CEM=&amp;_app_id=central_doc_viewer&amp;center_on_screen=true&amp;width=950&amp;height=800&amp;_dd2=%26f%3Dsld%26c%3Dtrue%26os%3D1405397%26oe%3D1405404" xr:uid="{00000000-0004-0000-0000-000057000000}"/>
    <hyperlink ref="U85" r:id="rId88" display="fdsup://factset/Doc Viewer Single?float_window=true&amp;positioning_strategy=center_on_screen&amp;_doc_docfn=U2FsdGVkX19g130LPk/wYObh7VHUuKbsJkcA944GbjV5U0/SYZqtP2xKSkFBtxPU3BuV4+bLaFYa0TON5wb7Mbr+wRHpcoI8Geztjw40RSY=&amp;_app_id=central_doc_viewer&amp;center_on_screen=true&amp;width=950&amp;height=800&amp;_dd2=%26f%3Dsld%26c%3Dtrue%26os%3D129883%26oe%3D129889" xr:uid="{00000000-0004-0000-0000-000058000000}"/>
    <hyperlink ref="P85" r:id="rId89" display="fdsup://factset/Doc Viewer Single?float_window=true&amp;positioning_strategy=center_on_screen&amp;_doc_docfn=U2FsdGVkX1+eLGpdE6carKXngloK26qCiH8AegbCIRxqpXVj5wfDwGovjWvhNZxNx/Ab3m/OYzjhJDmiULMiX+VpG7vUupe3ro2llQw6krs=&amp;_app_id=central_doc_viewer&amp;center_on_screen=true&amp;width=950&amp;height=800&amp;_dd2=%26f%3Dsld%26c%3Dtrue%26os%3D130084%26oe%3D130090" xr:uid="{00000000-0004-0000-0000-000059000000}"/>
    <hyperlink ref="K85" r:id="rId90" display="fdsup://factset/Doc Viewer Single?float_window=true&amp;positioning_strategy=center_on_screen&amp;_doc_docfn=U2FsdGVkX19N9XdcxV50xpOoN8ftIo8fIG7k+EMBMIwnAwLHFuZtwl4cK+Gp1yhCpzVXBS3vFRxXuTcceI7B1jVtLyzWOarr9PuXv53Bk80=&amp;_app_id=central_doc_viewer&amp;center_on_screen=true&amp;width=950&amp;height=800&amp;_dd2=%26f%3Dsld%26c%3Dtrue%26os%3D130285%26oe%3D130291" xr:uid="{00000000-0004-0000-0000-00005A000000}"/>
    <hyperlink ref="F85" r:id="rId91" display="fdsup://factset/Doc Viewer Single?float_window=true&amp;positioning_strategy=center_on_screen&amp;_doc_docfn=U2FsdGVkX1+iMgDsouO3hLOjVQ5uT6FK/cDketptqPckrbDX2MywxL7HDUOI8sW6DJhfYtVvxL7P1GBmS7lwMjmZBLINlLwTUUXhqFOair0=&amp;_app_id=central_doc_viewer&amp;center_on_screen=true&amp;width=950&amp;height=800&amp;_dd2=%26f%3Dsld%26c%3Dtrue%26os%3D126715%26oe%3D126721" xr:uid="{00000000-0004-0000-0000-00005B000000}"/>
    <hyperlink ref="E85" r:id="rId92" display="fdsup://factset/Doc Viewer Single?float_window=true&amp;positioning_strategy=center_on_screen&amp;_doc_docfn=U2FsdGVkX1+dF7LAmibQB2GHtlCmgkegpwa5vkxKVKsIpuLlGnWB6gGp6/ZN+pCnwtTm2HxEur6p2jiyzma2+ognMjAKEOukqtQQmPAGKTM=&amp;_app_id=central_doc_viewer&amp;center_on_screen=true&amp;width=950&amp;height=800&amp;_dd2=%26f%3Dsld%26c%3Dtrue%26os%3D125096%26oe%3D125103" xr:uid="{00000000-0004-0000-0000-00005C000000}"/>
    <hyperlink ref="D85" r:id="rId93" display="fdsup://factset/Doc Viewer Single?float_window=true&amp;positioning_strategy=center_on_screen&amp;_doc_docfn=U2FsdGVkX1/TBHGceIIMqg+H9ovcfznUnni4CfGSwBd7ujRNF1ZUpvtYSYaxR3sSeKq9Ug0L/en/LxZ7jLHwA3BsQtKOVzLtna7z0SGBdE0=&amp;_app_id=central_doc_viewer&amp;center_on_screen=true&amp;width=950&amp;height=800&amp;_dd2=%26f%3Dsld%26c%3Dtrue%26os%3D166215%26oe%3D166222" xr:uid="{00000000-0004-0000-0000-00005D000000}"/>
    <hyperlink ref="C85" r:id="rId94" display="fdsup://factset/Doc Viewer Single?float_window=true&amp;positioning_strategy=center_on_screen&amp;_doc_docfn=U2FsdGVkX1+wD8UpKiTa11ZwS7kq9JxaT7pM0Bk9S+Q6V6xA5Nn+xojBfjgpdDORbL1Ku7JxEs+dBU++6F2OGZJYQllKsXuF71ry/52QSQw=&amp;_app_id=central_doc_viewer&amp;center_on_screen=true&amp;width=950&amp;height=800&amp;_dd2=%26f%3Dsld%26c%3Dtrue%26os%3D169229%26oe%3D169237" xr:uid="{00000000-0004-0000-0000-00005E000000}"/>
    <hyperlink ref="B85" r:id="rId95" display="fdsup://factset/Doc Viewer Single?float_window=true&amp;positioning_strategy=center_on_screen&amp;_doc_docfn=U2FsdGVkX1/Ixsfzsk2P+vmIz48Z24yQT9m9ViCKiun2Vn+q68Ma45oYyehOSDlXm0bZHXdUC10yc7E7aPr/0s/6s+aIPjdQk2CcNjlrryA=&amp;_app_id=central_doc_viewer&amp;center_on_screen=true&amp;width=950&amp;height=800&amp;_dd2=%26f%3Dsld%26c%3Dtrue%26os%3D1405996%26oe%3D1406002" xr:uid="{00000000-0004-0000-0000-00005F000000}"/>
    <hyperlink ref="U90" r:id="rId96" display="fdsup://factset/Doc Viewer Single?float_window=true&amp;positioning_strategy=center_on_screen&amp;_doc_docfn=U2FsdGVkX198H0Mg7tx81rUaB+V+n4pkDroGpQik5wIu1N8Ucf0JzVORw+cZKlYgUEcYf7J1tGqGPosUZwueduLVo6r0+zrLw8kXjUuwCd8=&amp;_app_id=central_doc_viewer&amp;center_on_screen=true&amp;width=950&amp;height=800&amp;_dd2=%26f%3Dsld%26c%3Dtrue%26os%3D130573%26oe%3D130580" xr:uid="{00000000-0004-0000-0000-000060000000}"/>
    <hyperlink ref="P90" r:id="rId97" display="fdsup://factset/Doc Viewer Single?float_window=true&amp;positioning_strategy=center_on_screen&amp;_doc_docfn=U2FsdGVkX18acAkEG7oOrlzwWg67ftiC+av+9njnEY4TyTt2BiR+J8hFPVzRxW2v8NuYXckK/9whrlt9DkzYlKACXUyMm5uwTStOqaR8MRs=&amp;_app_id=central_doc_viewer&amp;center_on_screen=true&amp;width=950&amp;height=800&amp;_dd2=%26f%3Dsld%26c%3Dtrue%26os%3D130765%26oe%3D130771" xr:uid="{00000000-0004-0000-0000-000061000000}"/>
    <hyperlink ref="K90" r:id="rId98" display="fdsup://factset/Doc Viewer Single?float_window=true&amp;positioning_strategy=center_on_screen&amp;_doc_docfn=U2FsdGVkX18ZDpFKaVD8p4r0jGFf+MxULHUhWhdBxFI/xhatTlOkDYDRQdhfTjKGli4HQw7RP1HWqZMCVyONib3Xztknw4EEwJKPp/V2FjI=&amp;_app_id=central_doc_viewer&amp;center_on_screen=true&amp;width=950&amp;height=800&amp;_dd2=%26f%3Dsld%26c%3Dtrue%26os%3D130956%26oe%3D130962" xr:uid="{00000000-0004-0000-0000-000062000000}"/>
    <hyperlink ref="F90" r:id="rId99" display="fdsup://factset/Doc Viewer Single?float_window=true&amp;positioning_strategy=center_on_screen&amp;_doc_docfn=U2FsdGVkX1+/LIfms4uUIiLBhvBRYrQxTz7qEtnnb6sZgDLsQRTVg5S3Ym2qqnOyq6S8b0MMX8qNpXmiK3ebAB4J8PJfAfeDkJgIpfaHxb0=&amp;_app_id=central_doc_viewer&amp;center_on_screen=true&amp;width=950&amp;height=800&amp;_dd2=%26f%3Dsld%26c%3Dtrue%26os%3D127390%26oe%3D127396" xr:uid="{00000000-0004-0000-0000-000063000000}"/>
    <hyperlink ref="E90" r:id="rId100" display="fdsup://factset/Doc Viewer Single?float_window=true&amp;positioning_strategy=center_on_screen&amp;_doc_docfn=U2FsdGVkX18IeH431N+SqFnb4PVvORR/YIPO9SHvrUCWRL8xUkuqCMARlgHovDkqtjFDoZMgBpIc/z3G0y3Lk0Ll+6tW0HQsz6mtm4MsDYY=&amp;_app_id=central_doc_viewer&amp;center_on_screen=true&amp;width=950&amp;height=800&amp;_dd2=%26f%3Dsld%26c%3Dtrue%26os%3D125807%26oe%3D125818" xr:uid="{00000000-0004-0000-0000-000064000000}"/>
    <hyperlink ref="D90" r:id="rId101" display="fdsup://factset/Doc Viewer Single?float_window=true&amp;positioning_strategy=center_on_screen&amp;_doc_docfn=U2FsdGVkX1/MhjDYdoeG3y5tDy8SdEmMsxmzM4YYESbXdTLisrmUIqxD4v8r5MdfIsh2Bx1Wuz1zLGgpM/NPAG65J6KwPnNYir2BImV5nU4=&amp;_app_id=central_doc_viewer&amp;center_on_screen=true&amp;width=950&amp;height=800&amp;_dd2=%26f%3Dsld%26c%3Dtrue%26os%3D166929%26oe%3D166939" xr:uid="{00000000-0004-0000-0000-000065000000}"/>
    <hyperlink ref="C90" r:id="rId102" display="fdsup://factset/Doc Viewer Single?float_window=true&amp;positioning_strategy=center_on_screen&amp;_doc_docfn=U2FsdGVkX1/u5fF/rWvL9gIBuIknWu6UrgA2gw0wB3xgrkhaV2TD22YpPpNi+OH59/90JFhpNtZFDhYdbhFsKRdEWv05CWYHj0PrJJzk76I=&amp;_app_id=central_doc_viewer&amp;center_on_screen=true&amp;width=950&amp;height=800&amp;_dd2=%26f%3Dsld%26c%3Dtrue%26os%3D169933%26oe%3D169938" xr:uid="{00000000-0004-0000-0000-000066000000}"/>
    <hyperlink ref="B90" r:id="rId103" display="fdsup://factset/Doc Viewer Single?float_window=true&amp;positioning_strategy=center_on_screen&amp;_doc_docfn=U2FsdGVkX1+qUV7LCsa/AZp2fqyXuafWE7n12XgfHFIsqYTb9NJRD2UlBmtpaavok1G7+a/QinH0bL3PAHMliCqzbbtjJfY2Ze295skt758=&amp;_app_id=central_doc_viewer&amp;center_on_screen=true&amp;width=950&amp;height=800&amp;_dd2=%26f%3Dsld%26c%3Dtrue%26os%3D1407256%26oe%3D1407263" xr:uid="{00000000-0004-0000-0000-000067000000}"/>
    <hyperlink ref="U95" r:id="rId104" display="fdsup://factset/Doc Viewer Single?float_window=true&amp;positioning_strategy=center_on_screen&amp;_doc_docfn=U2FsdGVkX1+FMZp30F08XRM4GXBZsjnKMjJKGuNidhd9WPgof9Bbm1uQ6ncmlt/iircuR5Jz5ycWLb2cfCo6z6aphXLClENvYlNig8k7zpE=&amp;_app_id=central_doc_viewer&amp;center_on_screen=true&amp;width=950&amp;height=800&amp;_dd2=%26f%3Dsld%26c%3Dtrue%26os%3D135012%26oe%3D135018" xr:uid="{00000000-0004-0000-0000-000070000000}"/>
    <hyperlink ref="P95" r:id="rId105" display="fdsup://factset/Doc Viewer Single?float_window=true&amp;positioning_strategy=center_on_screen&amp;_doc_docfn=U2FsdGVkX19iJpw62S8Xuv7nzwhfOEeyM266xyy3/CIgXAC4XzJViWQW/ekRIj8hSA1q26XqWgf8Wvp3sl2vvXjUGSWv7lWUFua5g3754yc=&amp;_app_id=central_doc_viewer&amp;center_on_screen=true&amp;width=950&amp;height=800&amp;_dd2=%26f%3Dsld%26c%3Dtrue%26os%3D135217%26oe%3D135223" xr:uid="{00000000-0004-0000-0000-000071000000}"/>
    <hyperlink ref="K95" r:id="rId106" display="fdsup://factset/Doc Viewer Single?float_window=true&amp;positioning_strategy=center_on_screen&amp;_doc_docfn=U2FsdGVkX1+ygchRTPpXM+T7+q9rN9MSLav1gDf/X/71b46ZyYpHbjJ6bpq/9mEZAFZcrbRtBtJOiRe0vyo0tmcNleOeu5UDpmNL1mNKjj8=&amp;_app_id=central_doc_viewer&amp;center_on_screen=true&amp;width=950&amp;height=800&amp;_dd2=%26f%3Dsld%26c%3Dtrue%26os%3D135422%26oe%3D135428" xr:uid="{00000000-0004-0000-0000-000072000000}"/>
    <hyperlink ref="F95" r:id="rId107" display="fdsup://factset/Doc Viewer Single?float_window=true&amp;positioning_strategy=center_on_screen&amp;_doc_docfn=U2FsdGVkX1/otmQu4PobA7oxFnJ1aGlBfN+G0St0Ejlo6Vvh84Il/e74jQlTHSpVn2QlDAWtm0rIoNvlKtDe9esf66aH+VIu/ofbmZxgSg4=&amp;_app_id=central_doc_viewer&amp;center_on_screen=true&amp;width=950&amp;height=800&amp;_dd2=%26f%3Dsld%26c%3Dtrue%26os%3D131681%26oe%3D131687" xr:uid="{00000000-0004-0000-0000-000073000000}"/>
    <hyperlink ref="U98" r:id="rId108" display="fdsup://factset/Doc Viewer Single?float_window=true&amp;positioning_strategy=center_on_screen&amp;_doc_docfn=U2FsdGVkX1+vhb8pjvTQCM7dGd5cyxoJ3zKXDrpIsJqUu34GNOpx30yill0Lp1QLm9vrJWoNwXkR3WGsnwD8L1oEbgXrkfTBbPzTgyWT054=&amp;_app_id=central_doc_viewer&amp;center_on_screen=true&amp;width=950&amp;height=800&amp;_dd2=%26f%3Dsld%26c%3Dtrue%26os%3D136926%26oe%3D136937" xr:uid="{00000000-0004-0000-0000-000080000000}"/>
    <hyperlink ref="P98" r:id="rId109" display="fdsup://factset/Doc Viewer Single?float_window=true&amp;positioning_strategy=center_on_screen&amp;_doc_docfn=U2FsdGVkX1+KMdOZt3cBTAchhQf17W4Shz55JM7p0JrMf7LV8c6Wy5KDFtBPDEDbrwsRAjWeR0m4SczIuy1ZCHuzh+2i/yoz9i8erAFieLs=&amp;_app_id=central_doc_viewer&amp;center_on_screen=true&amp;width=950&amp;height=800&amp;_dd2=%26f%3Dsld%26c%3Dtrue%26os%3D137160%26oe%3D137171" xr:uid="{00000000-0004-0000-0000-000081000000}"/>
    <hyperlink ref="K98" r:id="rId110" display="fdsup://factset/Doc Viewer Single?float_window=true&amp;positioning_strategy=center_on_screen&amp;_doc_docfn=U2FsdGVkX1+ZGuSIMF+yFdGzhoBk3HUnU4ZisSEq5x9PocXJE6aV0nLXeKC/UxoQ1GdfSQJDJc5M1SBTwoorKbqsgb+8vs34cFSRGOVsZ+c=&amp;_app_id=central_doc_viewer&amp;center_on_screen=true&amp;width=950&amp;height=800&amp;_dd2=%26f%3Dsld%26c%3Dtrue%26os%3D137394%26oe%3D137405" xr:uid="{00000000-0004-0000-0000-000082000000}"/>
    <hyperlink ref="F98" r:id="rId111" display="fdsup://factset/Doc Viewer Single?float_window=true&amp;positioning_strategy=center_on_screen&amp;_doc_docfn=U2FsdGVkX19ZWLnBufhmGp5cb/mv20DbSgb75x176CRKEIHlaJGttxxWsi5nHGdWugI1JsVX4Krk+dRRG6upc3N1MkSTcq3oZ4VOcmz6tRo=&amp;_app_id=central_doc_viewer&amp;center_on_screen=true&amp;width=950&amp;height=800&amp;_dd2=%26f%3Dsld%26c%3Dtrue%26os%3D133641%26oe%3D133652" xr:uid="{00000000-0004-0000-0000-000083000000}"/>
    <hyperlink ref="U104" r:id="rId112" display="fdsup://factset/Doc Viewer Single?float_window=true&amp;positioning_strategy=center_on_screen&amp;_doc_docfn=U2FsdGVkX1/EVMFDGq57WBAn5eCAuIOgGQVYGz4wBfaY0ejooK/fwwutisIDxSKWWUaFs5Urg5qc0G3h7BQIK7ZMQOUEUkkElYSfWBfI9QY=&amp;_app_id=central_doc_viewer&amp;center_on_screen=true&amp;width=950&amp;height=800&amp;_dd2=%26f%3Dsld%26c%3Dtrue%26os%3D63510%26oe%3D63519" xr:uid="{1C19CDE5-25D9-484B-B8BF-D3BF84F1FFEA}"/>
    <hyperlink ref="P104" r:id="rId113" display="fdsup://factset/Doc Viewer Single?float_window=true&amp;positioning_strategy=center_on_screen&amp;_doc_docfn=U2FsdGVkX18qjDSGGRYCbPg184EIzwGsNcashL50ognccq7EnO2b2Z8QMt+LOq33fCjsUS+gugBVRUjBnFIzMpKbghmpav8mC5Kw5qdjWL8=&amp;_app_id=central_doc_viewer&amp;center_on_screen=true&amp;width=950&amp;height=800&amp;_dd2=%26f%3Dsld%26c%3Dtrue%26os%3D63684%26oe%3D63693" xr:uid="{02BF35EA-C03C-461E-B98E-3721AE7B3525}"/>
    <hyperlink ref="K104" r:id="rId114" display="fdsup://factset/Doc Viewer Single?float_window=true&amp;positioning_strategy=center_on_screen&amp;_doc_docfn=U2FsdGVkX19QB3XHvndmbTWXWHW0LYM59IHO0oAgS472dwZNi4ZVf5h4qsRDIkQYkLNbQ6g2KRMA5cIndefcL7a/F+C/0XvfV8ideOq8g/Y=&amp;_app_id=central_doc_viewer&amp;center_on_screen=true&amp;width=950&amp;height=800&amp;_dd2=%26f%3Dsld%26c%3Dtrue%26os%3D61310%26oe%3D61319" xr:uid="{F1256DA2-31AD-400B-842A-FD3F23DA9986}"/>
    <hyperlink ref="F104" r:id="rId115" display="fdsup://factset/Doc Viewer Single?float_window=true&amp;positioning_strategy=center_on_screen&amp;_doc_docfn=U2FsdGVkX19Usz8tEOCUjHvcOwRxj31dz2dohJuUQRPxVQPz3Pys74ZqdTcuaQ4i5gjTD+tPt5e7J5W7sB1pXA6rG2GWjlLVxZia9kmsqbU=&amp;_app_id=central_doc_viewer&amp;center_on_screen=true&amp;width=950&amp;height=800&amp;_dd2=%26f%3Dsld%26c%3Dtrue%26os%3D60168%26oe%3D60177" xr:uid="{6C61BCFC-582B-450C-9B19-FCD532F419FC}"/>
    <hyperlink ref="E104" r:id="rId116" display="fdsup://factset/Doc Viewer Single?float_window=true&amp;positioning_strategy=center_on_screen&amp;_doc_docfn=U2FsdGVkX1+kiF+yb7O6PB7pMjXax0WRArN1nYUqy4fJInjAA/lOb5SK4OlmSCppBBfQpaxoT/H5PLrR6jnxkTWAy12rZ7oQLl881S20+3o=&amp;_app_id=central_doc_viewer&amp;center_on_screen=true&amp;width=950&amp;height=800&amp;_dd2=%26f%3Dsld%26c%3Dtrue%26os%3D65425%26oe%3D65434" xr:uid="{ED68773F-44B9-4B73-8F22-0AF3C6D874BD}"/>
    <hyperlink ref="C104" r:id="rId117" display="fdsup://factset/Doc Viewer Single?float_window=true&amp;positioning_strategy=center_on_screen&amp;_doc_docfn=U2FsdGVkX1+sL9WbfMgM+Bpappzbjln7NMy3tKGWgemm//VTtL56WRpXCJfoe7FzGYQPR4AhyqbVFUgGaClU2xqnSQdnhqSm5+T5bPq8HrM=&amp;_app_id=central_doc_viewer&amp;center_on_screen=true&amp;width=950&amp;height=800&amp;_dd2=%26f%3Dsld%26c%3Dtrue%26os%3D1531854%26oe%3D1531863" xr:uid="{CDF71EDD-9C5A-4F3F-BD69-A95CCF24A008}"/>
    <hyperlink ref="B104" r:id="rId118" display="fdsup://factset/Doc Viewer Single?float_window=true&amp;positioning_strategy=center_on_screen&amp;_doc_docfn=U2FsdGVkX1/APx7b24/UaEoxpawrNfVefmiDFVCzBEEZG3P+Smh/UqZM3ItQ59+ujpgHP1ph74C4B7Sm2Q251hWmrraNIqb17Efozx2oFJQ=&amp;_app_id=central_doc_viewer&amp;center_on_screen=true&amp;width=950&amp;height=800&amp;_dd2=%26f%3Dsld%26c%3Dtrue%26os%3D1375723%26oe%3D1375732" xr:uid="{2F1BB614-EC26-42EF-A76E-CF3449FDE7A3}"/>
    <hyperlink ref="U105" r:id="rId119" display="fdsup://factset/Doc Viewer Single?float_window=true&amp;positioning_strategy=center_on_screen&amp;_doc_docfn=U2FsdGVkX180xxXdfs0AQljt3ab35W5e/TOxohXPC6RZPkijmDCteBQc1ARw3uI4YHwocnMnUjqfdvDBwryIi35z2od7+enJNTw4ya5DHN0=&amp;_app_id=central_doc_viewer&amp;center_on_screen=true&amp;width=950&amp;height=800&amp;_dd2=%26f%3Dsld%26c%3Dtrue%26os%3D61142%26oe%3D61149" xr:uid="{BD55FFA6-92A5-4BFE-895E-05CBA9F53F04}"/>
    <hyperlink ref="P105" r:id="rId120" display="fdsup://factset/Doc Viewer Single?float_window=true&amp;positioning_strategy=center_on_screen&amp;_doc_docfn=U2FsdGVkX18dIRlrPu2VybNSMG+CKcckh6XgbSLQQDOsrPYCEmEZsgaLOrpKM0c79k3pStUD9X+2ivhjtCktlvt2vI1uc+lST+QNprUWEh0=&amp;_app_id=central_doc_viewer&amp;center_on_screen=true&amp;width=950&amp;height=800&amp;_dd2=%26f%3Dsld%26c%3Dtrue%26os%3D61320%26oe%3D61327" xr:uid="{DFC74866-9378-49EC-A4E2-2843EE59DC4D}"/>
    <hyperlink ref="K105" r:id="rId121" display="fdsup://factset/Doc Viewer Single?float_window=true&amp;positioning_strategy=center_on_screen&amp;_doc_docfn=U2FsdGVkX18fKeVMkoOQutwwXqNMnCZE8GZuHkmCdmBp8JAR5Xi1gCkuTYxX5ls9mjWQeCDMq+cQZhfHczxRjQ42BR+g5LJ9IXYpAPaH/wY=&amp;_app_id=central_doc_viewer&amp;center_on_screen=true&amp;width=950&amp;height=800&amp;_dd2=%26f%3Dsld%26c%3Dtrue%26os%3D58928%26oe%3D58935" xr:uid="{21BCC3AF-0E1D-4281-8CD0-52CE997B83EE}"/>
    <hyperlink ref="F105" r:id="rId122" display="fdsup://factset/Doc Viewer Single?float_window=true&amp;positioning_strategy=center_on_screen&amp;_doc_docfn=U2FsdGVkX18kmzqI3SVHfNpBSXWAVOTxcIDOQcNd29zzc5Do8+BD5UeygTWGD2hTxwMeoUcmFC5dwN/iy1fJrFOUohq/W3OtS0u2HCiKKlM=&amp;_app_id=central_doc_viewer&amp;center_on_screen=true&amp;width=950&amp;height=800&amp;_dd2=%26f%3Dsld%26c%3Dtrue%26os%3D57716%26oe%3D57723" xr:uid="{B02B5466-9D82-464C-A3D1-D70182589F21}"/>
    <hyperlink ref="E105" r:id="rId123" display="fdsup://factset/Doc Viewer Single?float_window=true&amp;positioning_strategy=center_on_screen&amp;_doc_docfn=U2FsdGVkX1/Fgpz9uoBzIj65od50aUj6TD5LtDiRlG+TYLWw4LXf9sce20kncFe4fBmL/VET3SNy7kgkKY26qMMC6NlxXuwfEgrt1qWJPrg=&amp;_app_id=central_doc_viewer&amp;center_on_screen=true&amp;width=950&amp;height=800&amp;_dd2=%26f%3Dsld%26c%3Dtrue%26os%3D62975%26oe%3D62982" xr:uid="{3AF753A4-E923-4035-A80A-137BBD14D23D}"/>
    <hyperlink ref="C105" r:id="rId124" display="fdsup://factset/Doc Viewer Single?float_window=true&amp;positioning_strategy=center_on_screen&amp;_doc_docfn=U2FsdGVkX19sxOPcsoFhIJriKmFf59rWWeV/h3zFhUIiCydzrq98qfAdYTIukaC4hvttM+/T8PwdLujeCFnF6HGtUawF631KZ8uyuzckawE=&amp;_app_id=central_doc_viewer&amp;center_on_screen=true&amp;width=950&amp;height=800&amp;_dd2=%26f%3Dsld%26c%3Dtrue%26os%3D1527601%26oe%3D1527608" xr:uid="{50C28FFD-806F-4D78-8262-6396D494FBF9}"/>
    <hyperlink ref="B105" r:id="rId125" display="fdsup://factset/Doc Viewer Single?float_window=true&amp;positioning_strategy=center_on_screen&amp;_doc_docfn=U2FsdGVkX1/WHbVeh2h3Sn5XlsZAXfqoHODMu9xcpEFqpk4WABmLM4ogq+KOBDCgh6xOkiZ5Z5k6a9WgxlP2m4uiZbmlWQmBouQZDJfVVVk=&amp;_app_id=central_doc_viewer&amp;center_on_screen=true&amp;width=950&amp;height=800&amp;_dd2=%26f%3Dsld%26c%3Dtrue%26os%3D1371468%26oe%3D1371475" xr:uid="{C9A42DAD-14D6-4782-A1A6-B88E87177E10}"/>
    <hyperlink ref="U106" r:id="rId126" display="fdsup://factset/Doc Viewer Single?float_window=true&amp;positioning_strategy=center_on_screen&amp;_doc_docfn=U2FsdGVkX18UbBYwEsUGHrQZ0xZwwT/d+/CuEA6hgFk8jHWCoDuPDJZuv6xSJUYOgCUF6G13opCC0ftFthHCPsb4+kWxAf31I/KY7+Oiie4=&amp;_app_id=central_doc_viewer&amp;center_on_screen=true&amp;width=950&amp;height=800&amp;_dd2=%26f%3Dsld%26c%3Dtrue%26os%3D58767%26oe%3D58776" xr:uid="{40849371-9110-4915-A2AA-2FE0DF15A457}"/>
    <hyperlink ref="P106" r:id="rId127" display="fdsup://factset/Doc Viewer Single?float_window=true&amp;positioning_strategy=center_on_screen&amp;_doc_docfn=U2FsdGVkX19jRJI07r4CTiLKC0exvcG0lIndx4dcPot26nMF31ep5Q8pkDcyAdXAv75ITi2yCrrBqD5vF+MxAp4fgMftP5swFtSHnTO9XDE=&amp;_app_id=central_doc_viewer&amp;center_on_screen=true&amp;width=950&amp;height=800&amp;_dd2=%26f%3Dsld%26c%3Dtrue%26os%3D58971%26oe%3D58980" xr:uid="{F8893C50-D21B-4320-9263-783F382C68C3}"/>
    <hyperlink ref="K106" r:id="rId128" display="fdsup://factset/Doc Viewer Single?float_window=true&amp;positioning_strategy=center_on_screen&amp;_doc_docfn=U2FsdGVkX193gCxOPhzU144XQEkvXCvblX4mcCvQAoj6TPyUWEi2Rpfqraq2dU8FTPGvcxi+ahO/WiNVrQG+LmnlP+JCfUH8mRKL57I1Obs=&amp;_app_id=central_doc_viewer&amp;center_on_screen=true&amp;width=950&amp;height=800&amp;_dd2=%26f%3Dsld%26c%3Dtrue%26os%3D56559%26oe%3D56568" xr:uid="{0F0B6C19-5FCA-4BF0-9327-61E27AFF9A41}"/>
    <hyperlink ref="F106" r:id="rId129" display="fdsup://factset/Doc Viewer Single?float_window=true&amp;positioning_strategy=center_on_screen&amp;_doc_docfn=U2FsdGVkX19halG7iRXUnr2a9XqEDdBpbuRGz58fYMGTYQLTh11gysJF5ulHpP4Jf3h9FwknBgPW7pBVI5UCxRTNYabxD8jKtIaf81WI7Mo=&amp;_app_id=central_doc_viewer&amp;center_on_screen=true&amp;width=950&amp;height=800&amp;_dd2=%26f%3Dsld%26c%3Dtrue%26os%3D55279%26oe%3D55288" xr:uid="{81A1DAD9-8C14-4281-91A4-7DC2068C3C21}"/>
    <hyperlink ref="E106" r:id="rId130" display="fdsup://factset/Doc Viewer Single?float_window=true&amp;positioning_strategy=center_on_screen&amp;_doc_docfn=U2FsdGVkX1+VhdBJFA7wlxxZiz9+UqtF7sKczx9bHT1IwDIocWwkCJQVkXefdZCmPwY9lhw5WajTOeLg59b3hloKAq1Q16jEdad+hR5kzVM=&amp;_app_id=central_doc_viewer&amp;center_on_screen=true&amp;width=950&amp;height=800&amp;_dd2=%26f%3Dsld%26c%3Dtrue%26os%3D60543%26oe%3D60552" xr:uid="{04C94548-CEF3-4E5F-9828-34735C45E6A0}"/>
    <hyperlink ref="C106" r:id="rId131" display="fdsup://factset/Doc Viewer Single?float_window=true&amp;positioning_strategy=center_on_screen&amp;_doc_docfn=U2FsdGVkX1+8Hv4WzE02RFbIa2XYDIaB/dtBuzPp/sDlcBq1rIz5g+pA//AzHoukL+sQxtbm6fkIVXj2qvCEcmqhQjxcrAgOiyKqGhgDugQ=&amp;_app_id=central_doc_viewer&amp;center_on_screen=true&amp;width=950&amp;height=800&amp;_dd2=%26f%3Dsld%26c%3Dtrue%26os%3D1523947%26oe%3D1523953" xr:uid="{669861D9-0113-4A2C-A746-DC32180B38AB}"/>
    <hyperlink ref="B106" r:id="rId132" display="fdsup://factset/Doc Viewer Single?float_window=true&amp;positioning_strategy=center_on_screen&amp;_doc_docfn=U2FsdGVkX1+JcZm7/oGYOavVo9o+4ssRtlW77NCXQcAdCZdivFP+GaSglcBTVE/o0nic5aFuYwee/K65GNcAy4YS+3VnHTW7nVZtEYrsiDk=&amp;_app_id=central_doc_viewer&amp;center_on_screen=true&amp;width=950&amp;height=800&amp;_dd2=%26f%3Dsld%26c%3Dtrue%26os%3D1368380%26oe%3D1368387" xr:uid="{12D8BEC9-9249-4E8C-859B-F0B9A22841BC}"/>
    <hyperlink ref="U107" r:id="rId133" display="fdsup://factset/Doc Viewer Single?float_window=true&amp;positioning_strategy=center_on_screen&amp;_doc_docfn=U2FsdGVkX18dOIeitkmLLlGzz186Ru/KO0Jp9ja7KNucUtBgDoqvHTafDX7hFXG7axkpK7RmdkYmC+Q7+4KoQv1w0WMUPJDiWDupy5L1ZS0=&amp;_app_id=central_doc_viewer&amp;center_on_screen=true&amp;width=950&amp;height=800&amp;_dd2=%26f%3Dsld%26c%3Dtrue%26os%3D59284%26oe%3D59290" xr:uid="{E4EBE12B-5A51-4555-8C46-C4774E6C0631}"/>
    <hyperlink ref="P107" r:id="rId134" display="fdsup://factset/Doc Viewer Single?float_window=true&amp;positioning_strategy=center_on_screen&amp;_doc_docfn=U2FsdGVkX19DvNja1aDSSUaBoqwtzYQjdH1p/9S74Grko8Ml4CQvOZVLvDnWtAHT1dkTVqNsXi6XbBuGfHXyU5UlNH+Nq+67g+H5hbHgSCg=&amp;_app_id=central_doc_viewer&amp;center_on_screen=true&amp;width=950&amp;height=800&amp;_dd2=%26f%3Dsld%26c%3Dtrue%26os%3D59475%26oe%3D59481" xr:uid="{AF0CCF0D-8430-4220-8474-81123DB8763D}"/>
    <hyperlink ref="K107" r:id="rId135" display="fdsup://factset/Doc Viewer Single?float_window=true&amp;positioning_strategy=center_on_screen&amp;_doc_docfn=U2FsdGVkX18oXDotrsZHaOtZQJjqTVVvbe7Sem33o5o3HQmEmhUDuUOypVzzii1slth7nWhhHqebC9HVOUzcjwJLwZyXCFm57K/YZRl8CLY=&amp;_app_id=central_doc_viewer&amp;center_on_screen=true&amp;width=950&amp;height=800&amp;_dd2=%26f%3Dsld%26c%3Dtrue%26os%3D57067%26oe%3D57073" xr:uid="{64F922C8-A201-4DEF-8092-C03409CA79BC}"/>
    <hyperlink ref="F107" r:id="rId136" display="fdsup://factset/Doc Viewer Single?float_window=true&amp;positioning_strategy=center_on_screen&amp;_doc_docfn=U2FsdGVkX1/OAsL/3w3GmY1hS8W8+Qewr46MhPMzdFrqOIV0l9D/dbBNXGZXnBHPrbpF0d5v/Fl0t1UqzZr3o/Tj6Vqo6vVyOdtLS+iqGwg=&amp;_app_id=central_doc_viewer&amp;center_on_screen=true&amp;width=950&amp;height=800&amp;_dd2=%26f%3Dsld%26c%3Dtrue%26os%3D55801%26oe%3D55807" xr:uid="{E2E20D80-2A75-486A-B9C3-102AD77BE6F1}"/>
    <hyperlink ref="E107" r:id="rId137" display="fdsup://factset/Doc Viewer Single?float_window=true&amp;positioning_strategy=center_on_screen&amp;_doc_docfn=U2FsdGVkX1+pGikcCwcwgMjqtCSeBu4RMp/9tiUhK4xfPolPy7YE/nXhaKRzPLLmgP++hUDZVlVZJP/PWKLM6FVlUFtWOe1yn48cikeFvAs=&amp;_app_id=central_doc_viewer&amp;center_on_screen=true&amp;width=950&amp;height=800&amp;_dd2=%26f%3Dsld%26c%3Dtrue%26os%3D61065%26oe%3D61071" xr:uid="{538BC129-44B4-437B-B2CC-268F4A1DC1A5}"/>
    <hyperlink ref="C107" r:id="rId138" display="fdsup://factset/Doc Viewer Single?float_window=true&amp;positioning_strategy=center_on_screen&amp;_doc_docfn=U2FsdGVkX19gtSf+59lAgEVkl5zQycfqbG7ZD6i9zHAHoXDGrOa3gDjxDrICpQewaw6N+7fpAsAcJgiUA4Wz98xEd6g0ZKFDFd4mFYC1DoY=&amp;_app_id=central_doc_viewer&amp;center_on_screen=true&amp;width=950&amp;height=800&amp;_dd2=%26f%3Dsld%26c%3Dtrue%26os%3D1524556%26oe%3D1524562" xr:uid="{5381064F-651A-43DB-BE2B-921A350E1C92}"/>
    <hyperlink ref="B107" r:id="rId139" display="fdsup://factset/Doc Viewer Single?float_window=true&amp;positioning_strategy=center_on_screen&amp;_doc_docfn=U2FsdGVkX18orYpdWPyvQbmb8tmzhipVqC4dPyhNi/yxojWhZMol1N02mvBdatzt7dG+R+cMTO1TpDUlAQu0Tsqt4kwbZf7vLkBlcFbfiiA=&amp;_app_id=central_doc_viewer&amp;center_on_screen=true&amp;width=950&amp;height=800&amp;_dd2=%26f%3Dsld%26c%3Dtrue%26os%3D1368990%26oe%3D1368996" xr:uid="{548EAB8C-F535-4707-8200-D5DF2219A47A}"/>
    <hyperlink ref="U108" r:id="rId140" display="fdsup://factset/Doc Viewer Single?float_window=true&amp;positioning_strategy=center_on_screen&amp;_doc_docfn=U2FsdGVkX1/i+ltSBGS7OwhQd/BhaKgIcfZpyZZElCnHkj1qTHBhFELhwT8MKi+7UfxMFM5DIO2eiDDrU8y6wdFkI3m64NmY7O6y8D8ieFY=&amp;_app_id=central_doc_viewer&amp;center_on_screen=true&amp;width=950&amp;height=800&amp;_dd2=%26f%3Dsld%26c%3Dtrue%26os%3D59747%26oe%3D59754" xr:uid="{A05E6868-F9B2-4DAF-835A-A5ADCDB10D09}"/>
    <hyperlink ref="P108" r:id="rId141" display="fdsup://factset/Doc Viewer Single?float_window=true&amp;positioning_strategy=center_on_screen&amp;_doc_docfn=U2FsdGVkX19rDR3KxCSYFevgUkkLltYGXWTHwfXOOM5ZQDDJ2QUIchObOkXdMCcOyErAPKX63kq8balAXbB8aPX73MotwBK6ZLQD7tf4vsM=&amp;_app_id=central_doc_viewer&amp;center_on_screen=true&amp;width=950&amp;height=800&amp;_dd2=%26f%3Dsld%26c%3Dtrue%26os%3D59924%26oe%3D59931" xr:uid="{937BEDA1-96EA-45D0-9110-25BE23B4C81D}"/>
    <hyperlink ref="K108" r:id="rId142" display="fdsup://factset/Doc Viewer Single?float_window=true&amp;positioning_strategy=center_on_screen&amp;_doc_docfn=U2FsdGVkX1+/RIYK6mjpMuIf8JMg6axdOLa9L9hQVnWQlDr3i/E/bEggRRjmpKncnKwdpYxaTRdB+TMAtEjMzZjZwq9qMbwxo7mLKLJCBJg=&amp;_app_id=central_doc_viewer&amp;center_on_screen=true&amp;width=950&amp;height=800&amp;_dd2=%26f%3Dsld%26c%3Dtrue%26os%3D57520%26oe%3D57527" xr:uid="{AD6ED51A-67B8-4CD8-83D8-61618F7DCBC7}"/>
    <hyperlink ref="F108" r:id="rId143" display="fdsup://factset/Doc Viewer Single?float_window=true&amp;positioning_strategy=center_on_screen&amp;_doc_docfn=U2FsdGVkX1+2pPvlD2fIssH/BHBtpQS1eW/rfVcSyxyQvcPN3B77feJJ/XgcY4t6oLLqz9XbwL7x9P88RvaW7GfuXVxDRWSBpt4iaFq6lq8=&amp;_app_id=central_doc_viewer&amp;center_on_screen=true&amp;width=950&amp;height=800&amp;_dd2=%26f%3Dsld%26c%3Dtrue%26os%3D56268%26oe%3D56275" xr:uid="{196136C5-109C-40D1-A383-6E7270B93655}"/>
    <hyperlink ref="E108" r:id="rId144" display="fdsup://factset/Doc Viewer Single?float_window=true&amp;positioning_strategy=center_on_screen&amp;_doc_docfn=U2FsdGVkX18xGUaIBc2DA35cHwam8q5CbxhskmeCi3i7y7LhK1th/IlNlvYW054s2vFavT4tQMiaLjxXHzQDdGvkfVKzfovskshbPdx+3z8=&amp;_app_id=central_doc_viewer&amp;center_on_screen=true&amp;width=950&amp;height=800&amp;_dd2=%26f%3Dsld%26c%3Dtrue%26os%3D61532%26oe%3D61539" xr:uid="{04DC4A5B-16B9-4F50-8523-D4FBB899579C}"/>
    <hyperlink ref="C108" r:id="rId145" display="fdsup://factset/Doc Viewer Single?float_window=true&amp;positioning_strategy=center_on_screen&amp;_doc_docfn=U2FsdGVkX18qu+xIj+Tl0lPHKEEMF4swZoqWPbWzcVdDH+PluIABXUxPYHwk3XIatwvUO4HpA7wFdOMQm0Hr/FWxmV3kJRajZZHZNxWTrwg=&amp;_app_id=central_doc_viewer&amp;center_on_screen=true&amp;width=950&amp;height=800&amp;_dd2=%26f%3Dsld%26c%3Dtrue%26os%3D1525159%26oe%3D1525166" xr:uid="{153A1155-76A5-43FB-ABA7-B2E65FD54CDA}"/>
    <hyperlink ref="B108" r:id="rId146" display="fdsup://factset/Doc Viewer Single?float_window=true&amp;positioning_strategy=center_on_screen&amp;_doc_docfn=U2FsdGVkX1+5AsrYJF00Ewmj1efMNOG+GZYzzZjbJ88WnX3XLUtLg09yVjQi5i8GRZZagX38Hp2B8SDaoRe0wgZhecXWUgrAsDy3Kh5BltM=&amp;_app_id=central_doc_viewer&amp;center_on_screen=true&amp;width=950&amp;height=800&amp;_dd2=%26f%3Dsld%26c%3Dtrue%26os%3D1369593%26oe%3D1369599" xr:uid="{215632D1-ADEF-4695-BF48-D9388DADAB08}"/>
    <hyperlink ref="B109" r:id="rId147" display="fdsup://factset/Doc Viewer Single?float_window=true&amp;positioning_strategy=center_on_screen&amp;_doc_docfn=U2FsdGVkX18sWdz3xpS2KZNCmPmGR2hhRXIIc9GYJ8ekI5fEYn4Gzp8mhub+pE/T01t+mGxVcYsRIoNN3cl8eg0zTwzoHe1WalLZh1EJxPQ=&amp;_app_id=central_doc_viewer&amp;center_on_screen=true&amp;width=950&amp;height=800&amp;_dd2=%26f%3Dsld%26c%3Dtrue%26os%3D1370207%26oe%3D1370212" xr:uid="{A5D41A3C-395A-402C-9E5D-F058E9DFF73D}"/>
    <hyperlink ref="U110" r:id="rId148" display="fdsup://factset/Doc Viewer Single?float_window=true&amp;positioning_strategy=center_on_screen&amp;_doc_docfn=U2FsdGVkX1/HCsZSGD6MmhGP7EpEJpQUlRGMPYHqXlmp44yHm8fJArOcndAVsvpOTwVDvnfZylBieZD2eoJcw/NTeRc2pZ56fwJvDbj2Lp8=&amp;_app_id=central_doc_viewer&amp;center_on_screen=true&amp;width=950&amp;height=800&amp;_dd2=%26f%3Dsld%26c%3Dtrue%26os%3D60209%26oe%3D60214" xr:uid="{4F5F6E7D-D23B-445B-A764-793D39AF9289}"/>
    <hyperlink ref="P110" r:id="rId149" display="fdsup://factset/Doc Viewer Single?float_window=true&amp;positioning_strategy=center_on_screen&amp;_doc_docfn=U2FsdGVkX18mrhxsQfxZBQOipLIUQP9wch2qmxhEAd4fXhMijSKBlRWsVWQJx/XPngFecatxduTIb6I7+kGSSKxVC5CxMNSwgA7JjDMXN14=&amp;_app_id=central_doc_viewer&amp;center_on_screen=true&amp;width=950&amp;height=800&amp;_dd2=%26f%3Dsld%26c%3Dtrue%26os%3D60392%26oe%3D60398" xr:uid="{F2C0283E-A5B1-4358-8E23-863D4D0C451D}"/>
    <hyperlink ref="K110" r:id="rId150" display="fdsup://factset/Doc Viewer Single?float_window=true&amp;positioning_strategy=center_on_screen&amp;_doc_docfn=U2FsdGVkX1/haj3+zEmqo6Fg5GBkZdnLHeLn0nOh9u73irTjLdKcPxWwvkm5jwd3WZw03iol9tG0lJicD/UdBjFYn7HuQYUDNzGTGkrfdk4=&amp;_app_id=central_doc_viewer&amp;center_on_screen=true&amp;width=950&amp;height=800&amp;_dd2=%26f%3Dsld%26c%3Dtrue%26os%3D57994%26oe%3D58000" xr:uid="{68032908-853E-47B2-B828-4783B8BCAE5A}"/>
    <hyperlink ref="F110" r:id="rId151" display="fdsup://factset/Doc Viewer Single?float_window=true&amp;positioning_strategy=center_on_screen&amp;_doc_docfn=U2FsdGVkX183J7DHMfNbDEX8bbD5JZftyoYyjCsHvudfGPUjLw68xly4pcO8qoui28dXnMqS56NR/CMxriyCPOILCIQ2cjhf7TiUFcSkopU=&amp;_app_id=central_doc_viewer&amp;center_on_screen=true&amp;width=950&amp;height=800&amp;_dd2=%26f%3Dsld%26c%3Dtrue%26os%3D56756%26oe%3D56762" xr:uid="{5C6463D0-A7C2-49CA-BFE1-38CE501A4FAC}"/>
    <hyperlink ref="E110" r:id="rId152" display="fdsup://factset/Doc Viewer Single?float_window=true&amp;positioning_strategy=center_on_screen&amp;_doc_docfn=U2FsdGVkX189X10svdzLFu083sgW/wHCoUn9LJAA0+CV5/5wEXM0WDTvGKo2KXqKqdCPm5pZZr+uhhPv+56NTpKkWuRfpLTSnu0MB8+fPRg=&amp;_app_id=central_doc_viewer&amp;center_on_screen=true&amp;width=950&amp;height=800&amp;_dd2=%26f%3Dsld%26c%3Dtrue%26os%3D62019%26oe%3D62024" xr:uid="{3F5B0DE9-2946-4068-B933-AE52A9CD6B94}"/>
    <hyperlink ref="C110" r:id="rId153" display="fdsup://factset/Doc Viewer Single?float_window=true&amp;positioning_strategy=center_on_screen&amp;_doc_docfn=U2FsdGVkX18i8mgckxK4Z2lw2R4IkhvvlXiGr4/SfUvHs+R2Tzcp9/3HTIU00ZE+evlzdkAGaMtsPez7DhjNWG3OKgt71uqfvKRnpq8lQ34=&amp;_app_id=central_doc_viewer&amp;center_on_screen=true&amp;width=950&amp;height=800&amp;_dd2=%26f%3Dsld%26c%3Dtrue%26os%3D1525748%26oe%3D1525753" xr:uid="{144D76C8-1F84-4291-BF4A-5492D8575B06}"/>
    <hyperlink ref="U111" r:id="rId154" display="fdsup://factset/Doc Viewer Single?float_window=true&amp;positioning_strategy=center_on_screen&amp;_doc_docfn=U2FsdGVkX19xlFVjKASjnHNyiM8pMYRW+djr71iqDugppNyT2LUg/BOQ4LxIscsdzkMJ/AYxmwhIDOX2ipEifAmp/pQO6lQf+TPJxVMeDiY=&amp;_app_id=central_doc_viewer&amp;center_on_screen=true&amp;width=950&amp;height=800&amp;_dd2=%26f%3Dsld%26c%3Dtrue%26os%3D60678%26oe%3D60684" xr:uid="{E700863A-7C48-46BA-8F56-8B7C866579E3}"/>
    <hyperlink ref="P111" r:id="rId155" display="fdsup://factset/Doc Viewer Single?float_window=true&amp;positioning_strategy=center_on_screen&amp;_doc_docfn=U2FsdGVkX1/0tap/wdR0nUvJi0XkljVRFNPG3DJHHJyacdCHCRqMFSUUf5x0IeSskx++wMoMA5qrdqbZTixxYnmXw387pNQJPtxkQ7D+OAU=&amp;_app_id=central_doc_viewer&amp;center_on_screen=true&amp;width=950&amp;height=800&amp;_dd2=%26f%3Dsld%26c%3Dtrue%26os%3D60859%26oe%3D60865" xr:uid="{39C1850C-C010-467A-8030-B8507AEE1B8E}"/>
    <hyperlink ref="K111" r:id="rId156" display="fdsup://factset/Doc Viewer Single?float_window=true&amp;positioning_strategy=center_on_screen&amp;_doc_docfn=U2FsdGVkX1/Yfm9ljIj/USg+fadlYKWIJyhXgHr7rTrTY1HcnqHlplfS+4oEYdZlJsmw+3UXHF9gpPVgsjveEJUodA9xgA7aGyt78gcz97Y=&amp;_app_id=central_doc_viewer&amp;center_on_screen=true&amp;width=950&amp;height=800&amp;_dd2=%26f%3Dsld%26c%3Dtrue%26os%3D58464%26oe%3D58469" xr:uid="{2B07B64D-6539-498E-93D7-7837231D3705}"/>
    <hyperlink ref="F111" r:id="rId157" display="fdsup://factset/Doc Viewer Single?float_window=true&amp;positioning_strategy=center_on_screen&amp;_doc_docfn=U2FsdGVkX1/lsQMukuIIQHQ+VoDPLjY3nPgjVqn6NWimtcEoCA2YQcCBJjvPOzqVc3nU4Xzi1BFJYotH1UO2Qiul/sqiixsFR6HzcYxaaZE=&amp;_app_id=central_doc_viewer&amp;center_on_screen=true&amp;width=950&amp;height=800&amp;_dd2=%26f%3Dsld%26c%3Dtrue%26os%3D57238%26oe%3D57243" xr:uid="{BBFF3F4C-A84C-49C8-ACFD-432D97031E7B}"/>
    <hyperlink ref="E111" r:id="rId158" display="fdsup://factset/Doc Viewer Single?float_window=true&amp;positioning_strategy=center_on_screen&amp;_doc_docfn=U2FsdGVkX1+K4gPg+tk6U0s4mCKVIohNvQZrKCkVP7QaS0oqGgHMk5BkD8996hyr1sD+1rqddrbl+L0sbiex9kr0TWyke5pJ32SICraVzAA=&amp;_app_id=central_doc_viewer&amp;center_on_screen=true&amp;width=950&amp;height=800&amp;_dd2=%26f%3Dsld%26c%3Dtrue%26os%3D62499%26oe%3D62502" xr:uid="{E01D187F-8E2E-4CAB-8014-15DF9F7C62D2}"/>
    <hyperlink ref="C111" r:id="rId159" display="fdsup://factset/Doc Viewer Single?float_window=true&amp;positioning_strategy=center_on_screen&amp;_doc_docfn=U2FsdGVkX1+D7RNcgm6Z+crNgRgCw8gquY+2nEZQ9960SOECdLD436W/m2iGEXa/zO82gRtWNxSk6+Cpn3f9qBeK1iZ8qUdrSbBINsG3ALU=&amp;_app_id=central_doc_viewer&amp;center_on_screen=true&amp;width=950&amp;height=800&amp;_dd2=%26f%3Dsld%26c%3Dtrue%26os%3D1526358%26oe%3D1526363" xr:uid="{E93437B3-CF11-4072-A5BA-6B0270AF0A1B}"/>
    <hyperlink ref="U112" r:id="rId160" display="fdsup://factset/Doc Viewer Single?float_window=true&amp;positioning_strategy=center_on_screen&amp;_doc_docfn=U2FsdGVkX18K/DEgWErmKM5gO4gWIdbjG/zwcyM/b6V/mrOPNAYtjHXfKYrJk0Xtj5GixJ93TRy/FuCVivuuadaSJPhW7okxZxEV5/6oHaA=&amp;_app_id=central_doc_viewer&amp;center_on_screen=true&amp;width=950&amp;height=800&amp;_dd2=%26f%3Dsld%26c%3Dtrue%26os%3D61632%26oe%3D61639" xr:uid="{BADDBBFB-B791-4E48-AD6C-D6DE099BAEFF}"/>
    <hyperlink ref="P112" r:id="rId161" display="fdsup://factset/Doc Viewer Single?float_window=true&amp;positioning_strategy=center_on_screen&amp;_doc_docfn=U2FsdGVkX1+tCbtwqZZuDQXxp98k+W7xQLfdr1Fl3vniKwSqF9Rh70YBP7idgp5YtxqG9eT7SEsC5VQb5Boe7JslwMGOpYBWeJKK0yVrFWg=&amp;_app_id=central_doc_viewer&amp;center_on_screen=true&amp;width=950&amp;height=800&amp;_dd2=%26f%3Dsld%26c%3Dtrue%26os%3D61825%26oe%3D61832" xr:uid="{A7E0CB32-4DDD-4681-92C4-1E067DA9B5C2}"/>
    <hyperlink ref="K112" r:id="rId162" display="fdsup://factset/Doc Viewer Single?float_window=true&amp;positioning_strategy=center_on_screen&amp;_doc_docfn=U2FsdGVkX18iPeuICwJ8T+PsvlMfp3/hPj7Is+/hxcvNQQ0YpFXC+AtXn96a/cWc8HI2aLsSSmMBLmn1zuzhfIgfVAL3Ehe+15TvxQCttJA=&amp;_app_id=central_doc_viewer&amp;center_on_screen=true&amp;width=950&amp;height=800&amp;_dd2=%26f%3Dsld%26c%3Dtrue%26os%3D59437%26oe%3D59444" xr:uid="{EDDB1F67-D5DB-4E30-B75A-09DF62027308}"/>
    <hyperlink ref="F112" r:id="rId163" display="fdsup://factset/Doc Viewer Single?float_window=true&amp;positioning_strategy=center_on_screen&amp;_doc_docfn=U2FsdGVkX1/TM0VQP4w9CVQSVsWhcVMGFKIMkn7Jqtu04kyOYKH3RlyMKV+rEXzgdLy0P9F51etxgCRvU5F0035nvT9n2563Xyd0QJ0lK50=&amp;_app_id=central_doc_viewer&amp;center_on_screen=true&amp;width=950&amp;height=800&amp;_dd2=%26f%3Dsld%26c%3Dtrue%26os%3D58239%26oe%3D58246" xr:uid="{425774DC-1C08-4E20-8F21-9984C68EA4CF}"/>
    <hyperlink ref="E112" r:id="rId164" display="fdsup://factset/Doc Viewer Single?float_window=true&amp;positioning_strategy=center_on_screen&amp;_doc_docfn=U2FsdGVkX1+AxuE692vIomTOefTmaDogpZtcyiYjp6tp2r3vq61wedlTobrBOiORimqDp3y4Yi80syuy8w8jKHo+a3sig0/P2egEyahQ3nw=&amp;_app_id=central_doc_viewer&amp;center_on_screen=true&amp;width=950&amp;height=800&amp;_dd2=%26f%3Dsld%26c%3Dtrue%26os%3D63498%26oe%3D63505" xr:uid="{C756C5EA-BAE9-45D6-A4F1-FC195E63FC7B}"/>
    <hyperlink ref="C112" r:id="rId165" display="fdsup://factset/Doc Viewer Single?float_window=true&amp;positioning_strategy=center_on_screen&amp;_doc_docfn=U2FsdGVkX18k2R0+8IxVj/LGAyDlyA2A2q3iQ6lds77U4AZKzQh3G4Iv96tV3mULc+1FvYWqPF2cm5/fAsy4L6frOHlkUmvnkwp8+y3Oezk=&amp;_app_id=central_doc_viewer&amp;center_on_screen=true&amp;width=950&amp;height=800&amp;_dd2=%26f%3Dsld%26c%3Dtrue%26os%3D1528228%26oe%3D1528235" xr:uid="{9DB0EF3B-9403-4326-9BA8-CA48170524AA}"/>
    <hyperlink ref="B112" r:id="rId166" display="fdsup://factset/Doc Viewer Single?float_window=true&amp;positioning_strategy=center_on_screen&amp;_doc_docfn=U2FsdGVkX19NPvAqkykrhYiaoluTIdn4ND5nhoT49t9wO5IZ9f5sQXsf/gD1t/p78e8qt1cFR+p6WapTIhyLpNxQ4vdLZtsylqnrTn0aB5Q=&amp;_app_id=central_doc_viewer&amp;center_on_screen=true&amp;width=950&amp;height=800&amp;_dd2=%26f%3Dsld%26c%3Dtrue%26os%3D1372077%26oe%3D1372084" xr:uid="{C0772389-5A24-49DA-99EE-75CA4989C069}"/>
    <hyperlink ref="U113" r:id="rId167" display="fdsup://factset/Doc Viewer Single?float_window=true&amp;positioning_strategy=center_on_screen&amp;_doc_docfn=U2FsdGVkX1/afF1Yizv/IJ4mgeP7Yfix8OyaMCt0M9co4LAtvuL4P4Qdrzu+xjRZ7K8Pnmnob6WWYxxSGrN3s6cnu3PuGNutee3PO7f0y3s=&amp;_app_id=central_doc_viewer&amp;center_on_screen=true&amp;width=950&amp;height=800&amp;_dd2=%26f%3Dsld%26c%3Dtrue%26os%3D62091%26oe%3D62098" xr:uid="{E2429680-86BF-4F08-AEA6-1F0199C75BA0}"/>
    <hyperlink ref="P113" r:id="rId168" display="fdsup://factset/Doc Viewer Single?float_window=true&amp;positioning_strategy=center_on_screen&amp;_doc_docfn=U2FsdGVkX1+AaIRfQX67+rWDYo45mumE1XchkCCYY8BoODVGJ9pLnSq+TFwPL1Hyr78azCjWXnYL7OZhyvCSm7opXFM07pC6eIe/+wEdpGM=&amp;_app_id=central_doc_viewer&amp;center_on_screen=true&amp;width=950&amp;height=800&amp;_dd2=%26f%3Dsld%26c%3Dtrue%26os%3D62264%26oe%3D62271" xr:uid="{93BD9367-179A-4D9E-8F12-B2B6F621ED6A}"/>
    <hyperlink ref="K113" r:id="rId169" display="fdsup://factset/Doc Viewer Single?float_window=true&amp;positioning_strategy=center_on_screen&amp;_doc_docfn=U2FsdGVkX19dexJ+NjSiMKxN4z3Z64f3zV9j2v5+4kx0tMX24vWPCdxuWmXbwJXdy8xt04PPhKUjio5cdBvHclz1RkkhjQCgFN8PwNHsD1o=&amp;_app_id=central_doc_viewer&amp;center_on_screen=true&amp;width=950&amp;height=800&amp;_dd2=%26f%3Dsld%26c%3Dtrue%26os%3D59880%26oe%3D59887" xr:uid="{FBC397AB-2248-4FD3-A60D-F99B2C7607C8}"/>
    <hyperlink ref="F113" r:id="rId170" display="fdsup://factset/Doc Viewer Single?float_window=true&amp;positioning_strategy=center_on_screen&amp;_doc_docfn=U2FsdGVkX18kPM0NJbNzBGiJ8YYE4L1XMeVs9e2ZQl7wLBYm2gh5ecs+siS8nNgkGL53jGXftW7J7+apZFlpX50abWAuukB/q4xiI2BpfWY=&amp;_app_id=central_doc_viewer&amp;center_on_screen=true&amp;width=950&amp;height=800&amp;_dd2=%26f%3Dsld%26c%3Dtrue%26os%3D58696%26oe%3D58703" xr:uid="{C144210A-9651-4F8F-9D18-306E03A1E305}"/>
    <hyperlink ref="E113" r:id="rId171" display="fdsup://factset/Doc Viewer Single?float_window=true&amp;positioning_strategy=center_on_screen&amp;_doc_docfn=U2FsdGVkX1/Y2u82kILFvztaUTotvO7CrNBogrVQJJ0LM953CoO0lBkTpfYXV6qaHXk/qnw27lt6CEsA2/FpSmF31y3VQNPLJ5znejuCCDg=&amp;_app_id=central_doc_viewer&amp;center_on_screen=true&amp;width=950&amp;height=800&amp;_dd2=%26f%3Dsld%26c%3Dtrue%26os%3D63955%26oe%3D63962" xr:uid="{C7DDE6E9-BA26-4C9C-AB2C-1BEBFD1354C5}"/>
    <hyperlink ref="C113" r:id="rId172" display="fdsup://factset/Doc Viewer Single?float_window=true&amp;positioning_strategy=center_on_screen&amp;_doc_docfn=U2FsdGVkX1+lkYv2fZeeBfE56E7c+Usst2WlSfCubmepiYdsFJDnoGHMZbpCT8yLTVno+YXRhNY4tM98K5jlDHQUUbkRz1lFIBttiP8KxRk=&amp;_app_id=central_doc_viewer&amp;center_on_screen=true&amp;width=950&amp;height=800&amp;_dd2=%26f%3Dsld%26c%3Dtrue%26os%3D1528811%26oe%3D1528818" xr:uid="{9EAC6942-FFD3-4369-8744-D21831058FC6}"/>
    <hyperlink ref="B113" r:id="rId173" display="fdsup://factset/Doc Viewer Single?float_window=true&amp;positioning_strategy=center_on_screen&amp;_doc_docfn=U2FsdGVkX19YooDswgWSIjv7T+cvBB3ZYDox+68jhRVtWoY/vmAt+Gui+kAx6ES0T3gb4g465MrE1fD/mLg6Eo0/7negc4ndWc03Ck9VB1c=&amp;_app_id=central_doc_viewer&amp;center_on_screen=true&amp;width=950&amp;height=800&amp;_dd2=%26f%3Dsld%26c%3Dtrue%26os%3D1372678%26oe%3D1372685" xr:uid="{2C28557A-F8EC-4145-A454-995D73C29A4E}"/>
    <hyperlink ref="U114" r:id="rId174" display="fdsup://factset/Doc Viewer Single?float_window=true&amp;positioning_strategy=center_on_screen&amp;_doc_docfn=U2FsdGVkX18dnomujP80htVo5uTX24K1fYnwOt9OytBRlXeCIAko5iGBEzjBUyQ4KzjDv+1+U53aNF2vq3QJSPBss4ct0aC1tjKvjY8OrFk=&amp;_app_id=central_doc_viewer&amp;center_on_screen=true&amp;width=950&amp;height=800&amp;_dd2=%26f%3Dsld%26c%3Dtrue%26os%3D62572%26oe%3D62579" xr:uid="{6C2EC298-B4EA-4A34-8E5D-3E88D72E96DD}"/>
    <hyperlink ref="P114" r:id="rId175" display="fdsup://factset/Doc Viewer Single?float_window=true&amp;positioning_strategy=center_on_screen&amp;_doc_docfn=U2FsdGVkX196m+WyDLHGMwRBzQEHuJhU+3l4rFUKb3Tc1FmZQGNGxOXlLB/YZai1iHqBjK0OshIIO/4NVAJoMJnEG79QKSeB+2y4ZfU52cI=&amp;_app_id=central_doc_viewer&amp;center_on_screen=true&amp;width=950&amp;height=800&amp;_dd2=%26f%3Dsld%26c%3Dtrue%26os%3D62773%26oe%3D62780" xr:uid="{22F56D2A-D511-4F09-95F5-1C11A1E52632}"/>
    <hyperlink ref="K114" r:id="rId176" display="fdsup://factset/Doc Viewer Single?float_window=true&amp;positioning_strategy=center_on_screen&amp;_doc_docfn=U2FsdGVkX19GX1u2l2WB/IjBXYyl8eOjT4eSPqexR4BeF4qHQ+emi8HlvWfMdrB4xHKpO8WVzDki92VGKj0rg4t1Y9MfjD/oTJ2StuHTXDM=&amp;_app_id=central_doc_viewer&amp;center_on_screen=true&amp;width=950&amp;height=800&amp;_dd2=%26f%3Dsld%26c%3Dtrue%26os%3D60393%26oe%3D60400" xr:uid="{D1B34442-49CE-42A5-967F-45CB2A4439C1}"/>
    <hyperlink ref="F114" r:id="rId177" display="fdsup://factset/Doc Viewer Single?float_window=true&amp;positioning_strategy=center_on_screen&amp;_doc_docfn=U2FsdGVkX196i1XJXKZcReGGZQyVFGyraXM6/KI3lT1Uq/s/jRNTVGYgEN+c7ZVocoxXxC9k8oj2BPt3+hrajp1JbupBitndrqmE8qGQK94=&amp;_app_id=central_doc_viewer&amp;center_on_screen=true&amp;width=950&amp;height=800&amp;_dd2=%26f%3Dsld%26c%3Dtrue%26os%3D59223%26oe%3D59230" xr:uid="{49937947-0887-4936-BC4E-69A554E5FB1F}"/>
    <hyperlink ref="E114" r:id="rId178" display="fdsup://factset/Doc Viewer Single?float_window=true&amp;positioning_strategy=center_on_screen&amp;_doc_docfn=U2FsdGVkX1+W9b2Qzd0+uLiLgKxx9T72xEGNzaNKS8tsCJHQDDzb3VfUyDpCaHfPZiUCMTJLci2sSjnKXnrZAT4CM+FOalqrQ/DA/mc19Uc=&amp;_app_id=central_doc_viewer&amp;center_on_screen=true&amp;width=950&amp;height=800&amp;_dd2=%26f%3Dsld%26c%3Dtrue%26os%3D64482%26oe%3D64489" xr:uid="{631FA822-2CDD-4FE3-AF46-0579551714A6}"/>
    <hyperlink ref="C114" r:id="rId179" display="fdsup://factset/Doc Viewer Single?float_window=true&amp;positioning_strategy=center_on_screen&amp;_doc_docfn=U2FsdGVkX18/tRDJ2KFUt7qcNR/5VHnXlk+Re2UfWQhx7jbmIJxwQ1lCwBlkAdiIQZKMBq1NQN5fFcrra+/AnMCtmi8UrWIJyS5vmBHIKOg=&amp;_app_id=central_doc_viewer&amp;center_on_screen=true&amp;width=950&amp;height=800&amp;_dd2=%26f%3Dsld%26c%3Dtrue%26os%3D1529426%26oe%3D1529433" xr:uid="{74AA1737-2744-4522-A309-EA1AE6FC694C}"/>
    <hyperlink ref="B114" r:id="rId180" display="fdsup://factset/Doc Viewer Single?float_window=true&amp;positioning_strategy=center_on_screen&amp;_doc_docfn=U2FsdGVkX183Wap/IPn9zO+yuectrla1Unbld9W4dKXdZQnjleeUJMC7VQpLdhO5cjMwioHetZ+/1B+zQZjz0atRHq74TCBTL8Lm4Rbo4fk=&amp;_app_id=central_doc_viewer&amp;center_on_screen=true&amp;width=950&amp;height=800&amp;_dd2=%26f%3Dsld%26c%3Dtrue%26os%3D1373275%26oe%3D1373282" xr:uid="{ACCB22A8-BD0C-4B18-9A0A-3C283E327C73}"/>
    <hyperlink ref="U115" r:id="rId181" display="fdsup://factset/Doc Viewer Single?float_window=true&amp;positioning_strategy=center_on_screen&amp;_doc_docfn=U2FsdGVkX1/Fdi0j0qjLHQihMCsjCiImxeytSwLwWH4v+itvCYb0YekF/kfA36SOto2Isgkz+oPl+GHeNaZKXdFRfDKQmuVCp85c+ZjMZKw=&amp;_app_id=central_doc_viewer&amp;center_on_screen=true&amp;width=950&amp;height=800&amp;_dd2=%26f%3Dsld%26c%3Dtrue%26os%3D63056%26oe%3D63063" xr:uid="{C303C228-4143-42C8-9BBA-0D5B76526A76}"/>
    <hyperlink ref="P115" r:id="rId182" display="fdsup://factset/Doc Viewer Single?float_window=true&amp;positioning_strategy=center_on_screen&amp;_doc_docfn=U2FsdGVkX19369gZD9vIXFK1Vo1DtC3vD4UFYL4Kdq7NC3a2Khf1/L8AYbUqjHXIj70SrJplMlQ18iYCVSW1CIcCADMCtwbqU/HwTqwFclA=&amp;_app_id=central_doc_viewer&amp;center_on_screen=true&amp;width=950&amp;height=800&amp;_dd2=%26f%3Dsld%26c%3Dtrue%26os%3D63241%26oe%3D63247" xr:uid="{5751BBA0-543E-4C8B-A44E-D2F3DEC765E6}"/>
    <hyperlink ref="K115" r:id="rId183" display="fdsup://factset/Doc Viewer Single?float_window=true&amp;positioning_strategy=center_on_screen&amp;_doc_docfn=U2FsdGVkX19qsZoN6vQZRP5Lbzxb6UqJSkNfXhbYTi86MtHFj8ELriDaD/A/hEe+whYN8CBBnBFxUZgE8MjJeYwOlgKRJmje2RimvEL0SD8=&amp;_app_id=central_doc_viewer&amp;center_on_screen=true&amp;width=950&amp;height=800&amp;_dd2=%26f%3Dsld%26c%3Dtrue%26os%3D60863%26oe%3D60869" xr:uid="{858340CC-E60C-4050-8E95-432A1E342634}"/>
    <hyperlink ref="F115" r:id="rId184" display="fdsup://factset/Doc Viewer Single?float_window=true&amp;positioning_strategy=center_on_screen&amp;_doc_docfn=U2FsdGVkX196RO1ZzJLTb65DUgi8Y+hHjbG5FrqKt/36DsEv53644s495gMsdzHprVu8/6fYYqzg0RskBU7vG3oRObkKgclu+jrKoVJ/mgs=&amp;_app_id=central_doc_viewer&amp;center_on_screen=true&amp;width=950&amp;height=800&amp;_dd2=%26f%3Dsld%26c%3Dtrue%26os%3D59707%26oe%3D59713" xr:uid="{86348111-4276-424C-A04C-8264E28CEBF7}"/>
    <hyperlink ref="E115" r:id="rId185" display="fdsup://factset/Doc Viewer Single?float_window=true&amp;positioning_strategy=center_on_screen&amp;_doc_docfn=U2FsdGVkX1+vr/ohxZh7S/9v5ZJMYrG/xYBCLJthOYG49CL0U5iO6B46YH4lpCgXdtDFL0C7P96FKFceOS6St5tJIaXJ38f2L5TzOb2Y5EY=&amp;_app_id=central_doc_viewer&amp;center_on_screen=true&amp;width=950&amp;height=800&amp;_dd2=%26f%3Dsld%26c%3Dtrue%26os%3D64965%26oe%3D64970" xr:uid="{789ED1D5-4148-4BD7-BC01-C3426F0E0DA0}"/>
    <hyperlink ref="C116" r:id="rId186" display="fdsup://factset/Doc Viewer Single?float_window=true&amp;positioning_strategy=center_on_screen&amp;_doc_docfn=U2FsdGVkX1+qKCZQzUMaT+bhOVY8VkU1aHQ1QMYuxKPHRuX4+Pm2t7zymZL27WsITzgRwd/f9AlxZLc2nqcXRX9aY5U7hHjuI/gNnPLoEAc=&amp;_app_id=central_doc_viewer&amp;center_on_screen=true&amp;width=950&amp;height=800&amp;_dd2=%26f%3Dsld%26c%3Dtrue%26os%3D1530026%26oe%3D1530031" xr:uid="{81094C8D-756A-457F-A703-BA83E2035F24}"/>
    <hyperlink ref="B116" r:id="rId187" display="fdsup://factset/Doc Viewer Single?float_window=true&amp;positioning_strategy=center_on_screen&amp;_doc_docfn=U2FsdGVkX18PMr/fyg7rUDj4x4wdubwQQu9iZAxMPjYw0Qd9r1jo2b92AZyEbAKqNAOYkFBAmJrPCePgnI0mF/94tx9slgRgZPQLAF+ano8=&amp;_app_id=central_doc_viewer&amp;center_on_screen=true&amp;width=950&amp;height=800&amp;_dd2=%26f%3Dsld%26c%3Dtrue%26os%3D1373895%26oe%3D1373900" xr:uid="{57637FDB-13AE-4D5D-A49C-451500F77F63}"/>
    <hyperlink ref="C117" r:id="rId188" display="fdsup://factset/Doc Viewer Single?float_window=true&amp;positioning_strategy=center_on_screen&amp;_doc_docfn=U2FsdGVkX187Ud4EQRvF1TL4jE+PlUubBx5+2HyGHh4qCnHTSIVfEIbZwQWVpTRS6kEzcLwTiutZn7MWJmtg5Mze/NX2XDUrS8iFPVlLh00=&amp;_app_id=central_doc_viewer&amp;center_on_screen=true&amp;width=950&amp;height=800&amp;_dd2=%26f%3Dsld%26c%3Dtrue%26os%3D1530627%26oe%3D1530632" xr:uid="{4C976A31-A9CD-4569-9EF4-1C6B0220F101}"/>
    <hyperlink ref="B117" r:id="rId189" display="fdsup://factset/Doc Viewer Single?float_window=true&amp;positioning_strategy=center_on_screen&amp;_doc_docfn=U2FsdGVkX1/xW8b9Qg6ZEQdBiwaixVwC8Tl97ZBY4M/YQKkxSxwzhrdU9NGvmnIiJb2JGv3jS/GkO6D2pkhESOzkv1IqJZtPdX2Bg4H1pxw=&amp;_app_id=central_doc_viewer&amp;center_on_screen=true&amp;width=950&amp;height=800&amp;_dd2=%26f%3Dsld%26c%3Dtrue%26os%3D1374478%26oe%3D1374483" xr:uid="{6322590E-8D21-49AD-9DA8-EE5B5002E374}"/>
    <hyperlink ref="U118" r:id="rId190" display="fdsup://factset/Doc Viewer Single?float_window=true&amp;positioning_strategy=center_on_screen&amp;_doc_docfn=U2FsdGVkX18zr7C3y3tH+vz2vhijhiTcQvLeDiuMbuhjCmK+A/SEhLpZmk1NgnEDLJW0FaEjRDIh14PhHkFcuLrlsbnyfoG05oCt0IayON0=&amp;_app_id=central_doc_viewer&amp;center_on_screen=true&amp;width=950&amp;height=800&amp;_dd2=%26f%3Dsld%26c%3Dtrue%26os%3D72463%26oe%3D72472" xr:uid="{1A772E1D-7555-4138-8E2D-C1B35462BCA4}"/>
    <hyperlink ref="P118" r:id="rId191" display="fdsup://factset/Doc Viewer Single?float_window=true&amp;positioning_strategy=center_on_screen&amp;_doc_docfn=U2FsdGVkX18/4ntrudfOCOy4P3crKTjWUGD5i14bcEkQ1klzvbLEIpf/uV3JDF81UQRFhQuev5FYG8FW6jM8hoMBjynVbvVPJ79hPKa7fIQ=&amp;_app_id=central_doc_viewer&amp;center_on_screen=true&amp;width=950&amp;height=800&amp;_dd2=%26f%3Dsld%26c%3Dtrue%26os%3D72663%26oe%3D72672" xr:uid="{AF0957D3-5324-4B5D-BDCA-E20C390AC70D}"/>
    <hyperlink ref="K118" r:id="rId192" display="fdsup://factset/Doc Viewer Single?float_window=true&amp;positioning_strategy=center_on_screen&amp;_doc_docfn=U2FsdGVkX1/zwpoMO1ULMqtzWENv5JTE1dy7CMtCOJboOsvhYRw2HWma0o60bRui80Ihl+vjo415eiL70eCgyCXKvN3ARmKk5uwJriC9Mjk=&amp;_app_id=central_doc_viewer&amp;center_on_screen=true&amp;width=950&amp;height=800&amp;_dd2=%26f%3Dsld%26c%3Dtrue%26os%3D70652%26oe%3D70661" xr:uid="{341044AC-E8D5-4E13-B61C-3A4CBA8A879A}"/>
    <hyperlink ref="F118" r:id="rId193" display="fdsup://factset/Doc Viewer Single?float_window=true&amp;positioning_strategy=center_on_screen&amp;_doc_docfn=U2FsdGVkX1+vg1i14oh0qx0oE87oTgZETe0k9eO9/zqLnLZe7mik+3mUZ90RAQX3WbdQlTKCQ2ECDrz3Ob6YxvTEAmrH6LHdZUiNOQrhj84=&amp;_app_id=central_doc_viewer&amp;center_on_screen=true&amp;width=950&amp;height=800&amp;_dd2=%26f%3Dsld%26c%3Dtrue%26os%3D69084%26oe%3D69093" xr:uid="{400818AF-45D9-4EF3-B941-15D43E51488A}"/>
    <hyperlink ref="E118" r:id="rId194" display="fdsup://factset/Doc Viewer Single?float_window=true&amp;positioning_strategy=center_on_screen&amp;_doc_docfn=U2FsdGVkX1/Raumbv9hfcqwhFXGj6sGkiAiKvCLPQ1nxsJ1NrmkXciqfHlWQf6eXXFW+SLvyYst+5MiP2NB+T2QW9kQQLOhmpq3xgBZVwjM=&amp;_app_id=central_doc_viewer&amp;center_on_screen=true&amp;width=950&amp;height=800&amp;_dd2=%26f%3Dsld%26c%3Dtrue%26os%3D73402%26oe%3D73411" xr:uid="{A79D589D-6D84-4E88-AEF2-7C6A98066DBC}"/>
    <hyperlink ref="C118" r:id="rId195" display="fdsup://factset/Doc Viewer Single?float_window=true&amp;positioning_strategy=center_on_screen&amp;_doc_docfn=U2FsdGVkX18mhHNtb6XlKayqJR32diSrwMCn1WtQc6im4WWnMpO0CSl5t0blWRGpXW59KhZ49gp4vCG9llxbtOSqtIeQ3y8CxN2n8nKMRXo=&amp;_app_id=central_doc_viewer&amp;center_on_screen=true&amp;width=950&amp;height=800&amp;_dd2=%26f%3Dsld%26c%3Dtrue%26os%3D1547249%26oe%3D1547258" xr:uid="{BD9769CA-8D34-41F1-AFDC-BCFF4F6E74E3}"/>
    <hyperlink ref="B118" r:id="rId196" display="fdsup://factset/Doc Viewer Single?float_window=true&amp;positioning_strategy=center_on_screen&amp;_doc_docfn=U2FsdGVkX19644SeyM9irDcajqV+3RxECw4/z+IOVxFj9I3K3J6fjj/rcv8aM+JxJ6Dq3c5UqbViwAk+6JCT48DhvA6PTS70AsVXyTJBgJk=&amp;_app_id=central_doc_viewer&amp;center_on_screen=true&amp;width=950&amp;height=800&amp;_dd2=%26f%3Dsld%26c%3Dtrue%26os%3D1391040%26oe%3D1391049" xr:uid="{5A283DBA-024E-4FDA-95C6-DA45F9F2F0E0}"/>
    <hyperlink ref="U119" r:id="rId197" display="fdsup://factset/Doc Viewer Single?float_window=true&amp;positioning_strategy=center_on_screen&amp;_doc_docfn=U2FsdGVkX19sAhmM7kp8V72i8tuZy6o5T1sBqsrptATgs1Wi6AY4yS7wd//O7EJkAbLDY4NETS/XMvIxVfdfS0YSYJqFDi5T2WV35JNtqPI=&amp;_app_id=central_doc_viewer&amp;center_on_screen=true&amp;width=950&amp;height=800&amp;_dd2=%26f%3Dsld%26c%3Dtrue%26os%3D68122%26oe%3D68129" xr:uid="{1F98BF07-238A-4757-A29C-C04470CE7FC2}"/>
    <hyperlink ref="P119" r:id="rId198" display="fdsup://factset/Doc Viewer Single?float_window=true&amp;positioning_strategy=center_on_screen&amp;_doc_docfn=U2FsdGVkX1+F8DsgKUDCXYzoP5R+Y7y0NxynrVywBNmvRsqeLIoQNfo8vhnT6XTfwvJl+uEo9d7MiPgMZ0s200a2l/MCsIlD8qtrFq5MC2I=&amp;_app_id=central_doc_viewer&amp;center_on_screen=true&amp;width=950&amp;height=800&amp;_dd2=%26f%3Dsld%26c%3Dtrue%26os%3D68298%26oe%3D68305" xr:uid="{A5592EE4-4D61-4AD4-82AF-7CD20EA0E183}"/>
    <hyperlink ref="K119" r:id="rId199" display="fdsup://factset/Doc Viewer Single?float_window=true&amp;positioning_strategy=center_on_screen&amp;_doc_docfn=U2FsdGVkX1+dcDT0z6oa2zwtJaRrD7bThE7y/yxu5tNFp90a4vNrOKZexvOjltnM4oF5AuEJVZwE0EDQzcoIDcbYtdnddBPOLKYe1eNB0NQ=&amp;_app_id=central_doc_viewer&amp;center_on_screen=true&amp;width=950&amp;height=800&amp;_dd2=%26f%3Dsld%26c%3Dtrue%26os%3D66428%26oe%3D66435" xr:uid="{C40197F1-9A7C-4EA0-AE61-68E036A8A748}"/>
    <hyperlink ref="F119" r:id="rId200" display="fdsup://factset/Doc Viewer Single?float_window=true&amp;positioning_strategy=center_on_screen&amp;_doc_docfn=U2FsdGVkX1/8FI6Gbs4JURe0eP6DHU+8wQMukKbLxalpR18j0uNN77ps0APyLO/P6uwyOvTgx9bd/Vaea1Z67pKjZb+aAOZJe6vJN4A0pAk=&amp;_app_id=central_doc_viewer&amp;center_on_screen=true&amp;width=950&amp;height=800&amp;_dd2=%26f%3Dsld%26c%3Dtrue%26os%3D65359%26oe%3D65366" xr:uid="{25077EB8-27B5-4314-9A64-67EA70B2DEFC}"/>
    <hyperlink ref="E119" r:id="rId201" display="fdsup://factset/Doc Viewer Single?float_window=true&amp;positioning_strategy=center_on_screen&amp;_doc_docfn=U2FsdGVkX1+N55qBHGAPdZU3r8zPDd6f6BixjbD3twRwsvDPh6gwwA2OEournBCNdyhUiNXHVQpy0RTcd0xcMv/sCQWrjmAh8r2dn64M41w=&amp;_app_id=central_doc_viewer&amp;center_on_screen=true&amp;width=950&amp;height=800&amp;_dd2=%26f%3Dsld%26c%3Dtrue%26os%3D70177%26oe%3D70184" xr:uid="{FA97E7BA-2B94-44AC-9D0D-119B2B8337E0}"/>
    <hyperlink ref="C119" r:id="rId202" display="fdsup://factset/Doc Viewer Single?float_window=true&amp;positioning_strategy=center_on_screen&amp;_doc_docfn=U2FsdGVkX1+9TL/yTOoN1UxOSNLuqiMS6ZMO7fDMBKMBqqMTXlTks2BJzwxKrGPoEhoEBVV5SRW0IS3kmLz87BTAcB60vgYtrJi48RfvbE4=&amp;_app_id=central_doc_viewer&amp;center_on_screen=true&amp;width=950&amp;height=800&amp;_dd2=%26f%3Dsld%26c%3Dtrue%26os%3D1541680%26oe%3D1541689" xr:uid="{0E1978C8-9E90-41B9-A3E0-173E93B0B8B7}"/>
    <hyperlink ref="B119" r:id="rId203" display="fdsup://factset/Doc Viewer Single?float_window=true&amp;positioning_strategy=center_on_screen&amp;_doc_docfn=U2FsdGVkX1+xwrONiOE1K70So9PwmpgDyiCPxWCdbtmOBSw/oeuXxhmme1fxq2VeCbiOBH+j3eRtuCM73U3MrndxHz7pxh8gYyMtBqVuBds=&amp;_app_id=central_doc_viewer&amp;center_on_screen=true&amp;width=950&amp;height=800&amp;_dd2=%26f%3Dsld%26c%3Dtrue%26os%3D1385468%26oe%3D1385477" xr:uid="{1EAF1539-CF01-4C8A-BFAB-617509E61CCC}"/>
    <hyperlink ref="U120" r:id="rId204" display="fdsup://factset/Doc Viewer Single?float_window=true&amp;positioning_strategy=center_on_screen&amp;_doc_docfn=U2FsdGVkX1+q3L6DpG4hn8EXDDesIyom6MjPHZbbZwLaZxzrYmzn1V081zdFWpATWLzneNgxmmW0QTUkqsio+UyHfap6e/zb7aFYBfR3JjQ=&amp;_app_id=central_doc_viewer&amp;center_on_screen=true&amp;width=950&amp;height=800&amp;_dd2=%26f%3Dsld%26c%3Dtrue%26os%3D66174%26oe%3D66181" xr:uid="{EB84539C-B9AE-499A-B1D5-73DCD4CE64DB}"/>
    <hyperlink ref="P120" r:id="rId205" display="fdsup://factset/Doc Viewer Single?float_window=true&amp;positioning_strategy=center_on_screen&amp;_doc_docfn=U2FsdGVkX1+mHdsGoT5zFf10oE1fPQViyq3IsmH2Z36v/hwN/jMKjVVzL+RTxFOoZsltmfonX7+qMnlfnUowGk99nc4Jiw1U+w4mYe0ZFpY=&amp;_app_id=central_doc_viewer&amp;center_on_screen=true&amp;width=950&amp;height=800&amp;_dd2=%26f%3Dsld%26c%3Dtrue%26os%3D66357%26oe%3D66364" xr:uid="{E5C38C0F-64E0-4100-B94D-12F0D06C8F57}"/>
    <hyperlink ref="K120" r:id="rId206" display="fdsup://factset/Doc Viewer Single?float_window=true&amp;positioning_strategy=center_on_screen&amp;_doc_docfn=U2FsdGVkX19GYruIbwHIrLvBR/eP4duPLFYblBDGEFVuzLXTRy1cD13OEFyEaULGfs4p5AnMMEkHW+i4EO8GhQvwdEsy/x5gPCs1RzAy9+M=&amp;_app_id=central_doc_viewer&amp;center_on_screen=true&amp;width=950&amp;height=800&amp;_dd2=%26f%3Dsld%26c%3Dtrue%26os%3D64471%26oe%3D64478" xr:uid="{78FFBF25-0EE0-4A1E-AA16-813EDF6DBE45}"/>
    <hyperlink ref="F120" r:id="rId207" display="fdsup://factset/Doc Viewer Single?float_window=true&amp;positioning_strategy=center_on_screen&amp;_doc_docfn=U2FsdGVkX1/HdWKHcvvt1FLXRWuxf4/nyhQqeMOlH5AHiR3KeVaebU9USsyD4B30wSdYB4JkKzkeBIQ//OG8/VGYZYjgSh4t5s6hx1bFm60=&amp;_app_id=central_doc_viewer&amp;center_on_screen=true&amp;width=950&amp;height=800&amp;_dd2=%26f%3Dsld%26c%3Dtrue%26os%3D63348%26oe%3D63355" xr:uid="{12E6AF2C-3F09-4755-A1B2-35B12990FCD2}"/>
    <hyperlink ref="E120" r:id="rId208" display="fdsup://factset/Doc Viewer Single?float_window=true&amp;positioning_strategy=center_on_screen&amp;_doc_docfn=U2FsdGVkX1838mKrRvr0AlU6sum1YXmbApVY2vRzuZsTygPir7PCeI8fHG0MreTLS+hDgLtMRTchakTKE+muqe7+e6PdBNzLHPTEFd1c/QU=&amp;_app_id=central_doc_viewer&amp;center_on_screen=true&amp;width=950&amp;height=800&amp;_dd2=%26f%3Dsld%26c%3Dtrue%26os%3D68168%26oe%3D68175" xr:uid="{C8FC97F7-5BA6-41A2-B15C-9AAD2F583C8F}"/>
    <hyperlink ref="C120" r:id="rId209" display="fdsup://factset/Doc Viewer Single?float_window=true&amp;positioning_strategy=center_on_screen&amp;_doc_docfn=U2FsdGVkX19ynvgJx6e6HuLC+MJJ020X1P5fsjrHNAlVkSuCgmx4HwKN95YtSh4G/LDh0RZJF/u3P14HmVUK7uUvGDPxDKe7dKvNX8zrRyM=&amp;_app_id=central_doc_viewer&amp;center_on_screen=true&amp;width=950&amp;height=800&amp;_dd2=%26f%3Dsld%26c%3Dtrue%26os%3D1537907%26oe%3D1537914" xr:uid="{23DD619C-A495-4FF9-8F8D-2591CE624AF8}"/>
    <hyperlink ref="B120" r:id="rId210" display="fdsup://factset/Doc Viewer Single?float_window=true&amp;positioning_strategy=center_on_screen&amp;_doc_docfn=U2FsdGVkX19GmXRXv7axICnKwNr7U1K/FfjNhvDsGp2g0OqF/Qr8Aoxjyf65fR6s7hp3zxk87WNVmHiuhpnU9uDfio8F5oRgycWG5CbIWdQ=&amp;_app_id=central_doc_viewer&amp;center_on_screen=true&amp;width=950&amp;height=800&amp;_dd2=%26f%3Dsld%26c%3Dtrue%26os%3D1381711%26oe%3D1381718" xr:uid="{06CEA53F-6357-4438-A29C-EDB33FA7CFF9}"/>
    <hyperlink ref="U121" r:id="rId211" display="fdsup://factset/Doc Viewer Single?float_window=true&amp;positioning_strategy=center_on_screen&amp;_doc_docfn=U2FsdGVkX1+6/Yy+co7kV2zF9umkiWv8aYIK5c4V+Eo2YZ7K7a4nyzi+MKk17F/N+NPTwqmJafzW9M+WeFrnEiARpZ3Zs3N9WCPZNYANdtI=&amp;_app_id=central_doc_viewer&amp;center_on_screen=true&amp;width=950&amp;height=800&amp;_dd2=%26f%3Dsld%26c%3Dtrue%26os%3D64229%26oe%3D64235" xr:uid="{32A81B9B-4D58-4DFC-BD28-A78B308F12A4}"/>
    <hyperlink ref="P121" r:id="rId212" display="fdsup://factset/Doc Viewer Single?float_window=true&amp;positioning_strategy=center_on_screen&amp;_doc_docfn=U2FsdGVkX1/qSVjg+vehCWzzv/koDFwUne3ly22sCk53bPb+ev2XH+tJsiZKNXMONqL71ICms8m8TI7RRG6qA/5X7WcnIVvrFlSRw++WzE0=&amp;_app_id=central_doc_viewer&amp;center_on_screen=true&amp;width=950&amp;height=800&amp;_dd2=%26f%3Dsld%26c%3Dtrue%26os%3D64414%26oe%3D64420" xr:uid="{DC6B8DF6-44D3-4E64-A9E4-81E265B2BC36}"/>
    <hyperlink ref="K121" r:id="rId213" display="fdsup://factset/Doc Viewer Single?float_window=true&amp;positioning_strategy=center_on_screen&amp;_doc_docfn=U2FsdGVkX1+0JP1flAtmPcPJmA3A/jEYYocL+SXhdanimia+ibHdUOFlsKD0+yF7oCPk4JhRCj3iWtcaAbtP+hCHTcrLw8Dhxqb/JOGiKI8=&amp;_app_id=central_doc_viewer&amp;center_on_screen=true&amp;width=950&amp;height=800&amp;_dd2=%26f%3Dsld%26c%3Dtrue%26os%3D62044%26oe%3D62050" xr:uid="{894E6D36-F645-4C43-A759-795000F1298F}"/>
    <hyperlink ref="F121" r:id="rId214" display="fdsup://factset/Doc Viewer Single?float_window=true&amp;positioning_strategy=center_on_screen&amp;_doc_docfn=U2FsdGVkX1+qVDSmvMXLAybD2GqwRL1rgkFpyigOEvArQ2DdhpKeaHp7dJoYyF3ckKQbT/4UpB76EGHR46fMd6Dhu/XRMEgAe9CbeUityHs=&amp;_app_id=central_doc_viewer&amp;center_on_screen=true&amp;width=950&amp;height=800&amp;_dd2=%26f%3Dsld%26c%3Dtrue%26os%3D60916%26oe%3D60922" xr:uid="{B0241C54-07D0-40EA-A2A6-419A8FA3C50D}"/>
    <hyperlink ref="E121" r:id="rId215" display="fdsup://factset/Doc Viewer Single?float_window=true&amp;positioning_strategy=center_on_screen&amp;_doc_docfn=U2FsdGVkX1/BK08Q+T9rIkmsn9e3yjuHyJsppZyeOz9v89getjhLtcIY200YAO3MJWc+ZZyOlEZA62k/c5J5dgqeHR998rzs2BiHYTzcvck=&amp;_app_id=central_doc_viewer&amp;center_on_screen=true&amp;width=950&amp;height=800&amp;_dd2=%26f%3Dsld%26c%3Dtrue%26os%3D66173%26oe%3D66179" xr:uid="{C3CF0753-D5E6-4E45-BD60-7F7CCE61E8AB}"/>
    <hyperlink ref="C121" r:id="rId216" display="fdsup://factset/Doc Viewer Single?float_window=true&amp;positioning_strategy=center_on_screen&amp;_doc_docfn=U2FsdGVkX18qhGaUyZ3m+7HuujrGFc5HvE0VQQMWjCWxXszOInlduCuCi9H2MK8KWo4lHdOfl1B9QV9uQBd6tL18aIdd63K4XC+7Ij1dJkI=&amp;_app_id=central_doc_viewer&amp;center_on_screen=true&amp;width=950&amp;height=800&amp;_dd2=%26f%3Dsld%26c%3Dtrue%26os%3D1534209%26oe%3D1534215" xr:uid="{BC5C0F77-69D8-4F6D-B788-6160991AD9EA}"/>
    <hyperlink ref="B121" r:id="rId217" display="fdsup://factset/Doc Viewer Single?float_window=true&amp;positioning_strategy=center_on_screen&amp;_doc_docfn=U2FsdGVkX18mmW5rPXCjeE80J0KRvzJ0Ni8FIFAON8AGhAfiXrbHLNVHfSV3pDC8eqsQg2BsaZmLSDYCaMPZq+aZgcs8YYPJMGerdJEXmmw=&amp;_app_id=central_doc_viewer&amp;center_on_screen=true&amp;width=950&amp;height=800&amp;_dd2=%26f%3Dsld%26c%3Dtrue%26os%3D1378016%26oe%3D1378022" xr:uid="{0E9FB0BB-C118-49B5-829A-8571DCD9FD3F}"/>
    <hyperlink ref="U122" r:id="rId218" display="fdsup://factset/Doc Viewer Single?float_window=true&amp;positioning_strategy=center_on_screen&amp;_doc_docfn=U2FsdGVkX184XiluwLpsVsft4nJV5IyXpuElBIKEvKIvzApX9YPxOqlu3xUXJJTBAbUKXLzs8/WgblRrFdgPdFGls/JsEWGncuHFENYAqJg=&amp;_app_id=central_doc_viewer&amp;center_on_screen=true&amp;width=950&amp;height=800&amp;_dd2=%26f%3Dsld%26c%3Dtrue%26os%3D64694%26oe%3D64700" xr:uid="{0E2A0DFB-D9E5-4559-A1AF-BC50494C9DCA}"/>
    <hyperlink ref="P122" r:id="rId219" display="fdsup://factset/Doc Viewer Single?float_window=true&amp;positioning_strategy=center_on_screen&amp;_doc_docfn=U2FsdGVkX18v1u5fT80OyB/S6H6Dz/9joVxiFo9FwQqewcDxU2KZpslEmlgcEpCQq6Njj13pEC3TeIY5MpneVyvarHt9bNZpH28kaa1OY1A=&amp;_app_id=central_doc_viewer&amp;center_on_screen=true&amp;width=950&amp;height=800&amp;_dd2=%26f%3Dsld%26c%3Dtrue%26os%3D64868%26oe%3D64874" xr:uid="{5D9F3818-36DB-40E8-8ACE-401A77ADBDB5}"/>
    <hyperlink ref="K122" r:id="rId220" display="fdsup://factset/Doc Viewer Single?float_window=true&amp;positioning_strategy=center_on_screen&amp;_doc_docfn=U2FsdGVkX1+2eLQMhqhMhaQj86dfWs+DwOu16TFyWaRybixxzYqYkTV0b+WOxyByBMxQm8kSkHj+8zWeutPc9FctaRKbqy/jLHDO4rReAdU=&amp;_app_id=central_doc_viewer&amp;center_on_screen=true&amp;width=950&amp;height=800&amp;_dd2=%26f%3Dsld%26c%3Dtrue%26os%3D62502%26oe%3D62508" xr:uid="{A6CB93A6-5A95-4798-823F-48BBB2ABA7BF}"/>
    <hyperlink ref="F122" r:id="rId221" display="fdsup://factset/Doc Viewer Single?float_window=true&amp;positioning_strategy=center_on_screen&amp;_doc_docfn=U2FsdGVkX18bpr0s9bjekTGAgCTTPPcmbeHxAQSy8PPGFv4dJwzdJ9mrGEfwpGDBoQm2+DkWrEW/tQzJ/DuGj9fD4x3pKGRataSnlFG6qSs=&amp;_app_id=central_doc_viewer&amp;center_on_screen=true&amp;width=950&amp;height=800&amp;_dd2=%26f%3Dsld%26c%3Dtrue%26os%3D61388%26oe%3D61394" xr:uid="{24F2B1C3-C677-4599-84F0-B276BC544F0A}"/>
    <hyperlink ref="E122" r:id="rId222" display="fdsup://factset/Doc Viewer Single?float_window=true&amp;positioning_strategy=center_on_screen&amp;_doc_docfn=U2FsdGVkX1/fXiPAH6n88JA5kdhAEs3L3IfwlBEdH+aOzM54RfRqJwoXAZrHhhevZSp+mPNLlYZkYD0kH+U3ZrhY5tGVLdQ1HYrOHVF86sk=&amp;_app_id=central_doc_viewer&amp;center_on_screen=true&amp;width=950&amp;height=800&amp;_dd2=%26f%3Dsld%26c%3Dtrue%26os%3D66645%26oe%3D66651" xr:uid="{4A3294CB-88AF-43C4-B514-BED79159674C}"/>
    <hyperlink ref="C122" r:id="rId223" display="fdsup://factset/Doc Viewer Single?float_window=true&amp;positioning_strategy=center_on_screen&amp;_doc_docfn=U2FsdGVkX1/Vu51hY2DqRKzYZqv5NR3Tni/PH52PNvK5NPaP3mdUCmyEfZ3r+5Y7GVK/9QKJv+3b1G5uI1Q0UiIjqakLstZJQuXh0FEdXCI=&amp;_app_id=central_doc_viewer&amp;center_on_screen=true&amp;width=950&amp;height=800&amp;_dd2=%26f%3Dsld%26c%3Dtrue%26os%3D1534818%26oe%3D1534824" xr:uid="{F5AD9FFB-7EED-4B12-A88E-C36DCC2A94FB}"/>
    <hyperlink ref="B122" r:id="rId224" display="fdsup://factset/Doc Viewer Single?float_window=true&amp;positioning_strategy=center_on_screen&amp;_doc_docfn=U2FsdGVkX1/V3KnuBHJsryDmw8pGDrMIw1gkhB/uDTQCN9NZJMPD0ygIGKsOZvC4WYILEu2W8IIa76aYwvfuiMM9H+RHojWqpPtT7d1FRq8=&amp;_app_id=central_doc_viewer&amp;center_on_screen=true&amp;width=950&amp;height=800&amp;_dd2=%26f%3Dsld%26c%3Dtrue%26os%3D1378622%26oe%3D1378628" xr:uid="{E72BA699-043B-460E-8326-992F826B80BF}"/>
    <hyperlink ref="K123" r:id="rId225" display="fdsup://factset/Doc Viewer Single?float_window=true&amp;positioning_strategy=center_on_screen&amp;_doc_docfn=U2FsdGVkX18tsnzb/hrC55dYHFbQE35vbOIaNSGwc1P5VcubcI88gK03hcC/kZQ+G19V6UexjC8aHQrzxqSQUV06/8rFLs/aDNOgB74uLeU=&amp;_app_id=central_doc_viewer&amp;center_on_screen=true&amp;width=950&amp;height=800&amp;_dd2=%26f%3Dsld%26c%3Dtrue%26os%3D62971%26oe%3D62976" xr:uid="{895CCA70-8EFB-4EAE-9FD4-081BA2C0DB7C}"/>
    <hyperlink ref="F123" r:id="rId226" display="fdsup://factset/Doc Viewer Single?float_window=true&amp;positioning_strategy=center_on_screen&amp;_doc_docfn=U2FsdGVkX1//0qhH8BDPTa3//DLPl8WD8qAIJJ82/jwGOS0pfkZJfHfXIjT2PjijBmMYbC0ThUdsEVgIhBgqJXmfjOL9w/LpMZ7jFInQh3w=&amp;_app_id=central_doc_viewer&amp;center_on_screen=true&amp;width=950&amp;height=800&amp;_dd2=%26f%3Dsld%26c%3Dtrue%26os%3D61872%26oe%3D61874" xr:uid="{3C02FD1A-6141-4E11-9D89-A4CA0568CB24}"/>
    <hyperlink ref="E123" r:id="rId227" display="fdsup://factset/Doc Viewer Single?float_window=true&amp;positioning_strategy=center_on_screen&amp;_doc_docfn=U2FsdGVkX1/1AlE9WQWgf/Twgg4DMWcxZoVkPAL8ViTiTO3XoxxQzZAB7kSZPy+oIcRUV0jouKp3E9RGSt03Z4MV30sV5Ifpuh+pr/EYGbI=&amp;_app_id=central_doc_viewer&amp;center_on_screen=true&amp;width=950&amp;height=800&amp;_dd2=%26f%3Dsld%26c%3Dtrue%26os%3D67126%26oe%3D67131" xr:uid="{162444AD-A1D6-4328-A6FB-B9BD6BC3D493}"/>
    <hyperlink ref="C123" r:id="rId228" display="fdsup://factset/Doc Viewer Single?float_window=true&amp;positioning_strategy=center_on_screen&amp;_doc_docfn=U2FsdGVkX19VxieA9ibGmN5ctp7GeJX18pDTmkaHGKd4xEdchF1Z/3pxDTkRRvV3bebXhciuZQTb139yMUMu8Y+Qkms6/MMqPSlANb2SZI0=&amp;_app_id=central_doc_viewer&amp;center_on_screen=true&amp;width=950&amp;height=800&amp;_dd2=%26f%3Dsld%26c%3Dtrue%26os%3D1535425%26oe%3D1535431" xr:uid="{A10AA4F6-6A2B-4787-9F66-E3F764BEDAE9}"/>
    <hyperlink ref="B123" r:id="rId229" display="fdsup://factset/Doc Viewer Single?float_window=true&amp;positioning_strategy=center_on_screen&amp;_doc_docfn=U2FsdGVkX1+GUw0GmrcfE+VpsIrUpNBCN96sKRujjjC98ujV1VIdu1F5qwmut6LHnktlrDlWz8UoegBwFLvXsED125tNWkPz17f1wm9hg6E=&amp;_app_id=central_doc_viewer&amp;center_on_screen=true&amp;width=950&amp;height=800&amp;_dd2=%26f%3Dsld%26c%3Dtrue%26os%3D1379211%26oe%3D1379217" xr:uid="{EF1F5377-4CD7-46CB-A6B0-5DAA17D9F9D7}"/>
    <hyperlink ref="U124" r:id="rId230" display="fdsup://factset/Doc Viewer Single?float_window=true&amp;positioning_strategy=center_on_screen&amp;_doc_docfn=U2FsdGVkX1/Fb3kjVJN7KyGZo8/cwITiQNoOCN8m19L4TajaTtGy2PNWc6r/52LNdFcG/91xoyf4hz/LGaZUL6FbW9oAaBOE92/uOuByEfc=&amp;_app_id=central_doc_viewer&amp;center_on_screen=true&amp;width=950&amp;height=800&amp;_dd2=%26f%3Dsld%26c%3Dtrue%26os%3D65179%26oe%3D65184" xr:uid="{F909A78B-D0ED-4580-8F65-71D84B7B840E}"/>
    <hyperlink ref="P124" r:id="rId231" display="fdsup://factset/Doc Viewer Single?float_window=true&amp;positioning_strategy=center_on_screen&amp;_doc_docfn=U2FsdGVkX1/MqhleHQvZ7fRvi9Mb0RyBtKIhhaZu0P01ePVJinCKz+SstU9CpkqrPMTedrf4LWZExjmAAEzbnWhtbaFBK3/EK67A3d0wkFw=&amp;_app_id=central_doc_viewer&amp;center_on_screen=true&amp;width=950&amp;height=800&amp;_dd2=%26f%3Dsld%26c%3Dtrue%26os%3D65359%26oe%3D65364" xr:uid="{87163CF3-6E78-451A-A499-67B88ADDC46B}"/>
    <hyperlink ref="K124" r:id="rId232" display="fdsup://factset/Doc Viewer Single?float_window=true&amp;positioning_strategy=center_on_screen&amp;_doc_docfn=U2FsdGVkX19Jtm84h1wEkf73/nA+g+wy4uhgxcOU8wlsHGQNRONJNF18ru5m10zWI+4C7ibBgECJxWs/GUi2RjvHqe/mgu77hUVxsIOCKJI=&amp;_app_id=central_doc_viewer&amp;center_on_screen=true&amp;width=950&amp;height=800&amp;_dd2=%26f%3Dsld%26c%3Dtrue%26os%3D63465%26oe%3D63470" xr:uid="{4C750C15-F510-4749-BFFA-3B02E6EE71FD}"/>
    <hyperlink ref="F124" r:id="rId233" display="fdsup://factset/Doc Viewer Single?float_window=true&amp;positioning_strategy=center_on_screen&amp;_doc_docfn=U2FsdGVkX1/k2S0djhuBn7MQ/Dmek93yG+5YWtnlps3/rmwdTTVBXVOSKB/L3dwMmAAErPfzb/cQtrMxnSY00RVPTBMJuZhkV60FQlg0vU8=&amp;_app_id=central_doc_viewer&amp;center_on_screen=true&amp;width=950&amp;height=800&amp;_dd2=%26f%3Dsld%26c%3Dtrue%26os%3D62300%26oe%3D62301" xr:uid="{B9176E00-87DA-4906-909C-64BDDB69C186}"/>
    <hyperlink ref="C124" r:id="rId234" display="fdsup://factset/Doc Viewer Single?float_window=true&amp;positioning_strategy=center_on_screen&amp;_doc_docfn=U2FsdGVkX1/eHmxj3sWWUzqzEgo9jG0XVnlmUBX9lSDxlpLRMkjxXxT8KyYlctw5zoq4at8dGfd0w9aS5g/wsG+sOam05LcKDb393EzQnCw=&amp;_app_id=central_doc_viewer&amp;center_on_screen=true&amp;width=950&amp;height=800&amp;_dd2=%26f%3Dsld%26c%3Dtrue%26os%3D1536030%26oe%3D1536035" xr:uid="{43DA836C-2F92-4FB9-A16F-3321673999EC}"/>
    <hyperlink ref="B124" r:id="rId235" display="fdsup://factset/Doc Viewer Single?float_window=true&amp;positioning_strategy=center_on_screen&amp;_doc_docfn=U2FsdGVkX1/RdUcdDsVKvlp+3XvSis2MqXDQ3v/Zbcs3qntw2Vy6HdXQima4GP1t/JMwPtm5meL4ZirayBwY64yfzTUfg2M/0mO+9StuClY=&amp;_app_id=central_doc_viewer&amp;center_on_screen=true&amp;width=950&amp;height=800&amp;_dd2=%26f%3Dsld%26c%3Dtrue%26os%3D1379834%26oe%3D1379839" xr:uid="{DF42976F-3ED0-4107-9F79-9642F5BB26CC}"/>
    <hyperlink ref="U125" r:id="rId236" display="fdsup://factset/Doc Viewer Single?float_window=true&amp;positioning_strategy=center_on_screen&amp;_doc_docfn=U2FsdGVkX1+9tgHF+2o+TIJpJ8j0SSxiyu0Lo2g/5Xs99nyfpqcRkbS5c47SVOTu+NFu+Q6jvU30aqxSlqYglFxhLZYS7bP6jlx6+tNbebI=&amp;_app_id=central_doc_viewer&amp;center_on_screen=true&amp;width=950&amp;height=800&amp;_dd2=%26f%3Dsld%26c%3Dtrue%26os%3D65681%26oe%3D65687" xr:uid="{B83EFA2F-1472-486E-A26E-23E7FD87D3B6}"/>
    <hyperlink ref="P125" r:id="rId237" display="fdsup://factset/Doc Viewer Single?float_window=true&amp;positioning_strategy=center_on_screen&amp;_doc_docfn=U2FsdGVkX19BtVZxeWhoD/ZBjRC91BRvR3EW8xxtkWem2iKZvu5LIQyqln2cbH5RcaZNzsFTymfcyluxxr6VqY1z1OcQMkJgr+Km1xsbmKg=&amp;_app_id=central_doc_viewer&amp;center_on_screen=true&amp;width=950&amp;height=800&amp;_dd2=%26f%3Dsld%26c%3Dtrue%26os%3D65881%26oe%3D65887" xr:uid="{16E34C5D-2E01-48E0-ACD9-6DE478E59A92}"/>
    <hyperlink ref="K125" r:id="rId238" display="fdsup://factset/Doc Viewer Single?float_window=true&amp;positioning_strategy=center_on_screen&amp;_doc_docfn=U2FsdGVkX1+I9M3SzK3m9/NMUid+S9bbwe1v/HVXQw5wmEt2Piq0Q32UDwLw/qB06rzSHm3eUGgO9KNQXLlN+miT8WZu17fb04mhOTW2sKg=&amp;_app_id=central_doc_viewer&amp;center_on_screen=true&amp;width=950&amp;height=800&amp;_dd2=%26f%3Dsld%26c%3Dtrue%26os%3D63991%26oe%3D63997" xr:uid="{ED6FDF2E-2357-4265-A034-4368694E65B6}"/>
    <hyperlink ref="F125" r:id="rId239" display="fdsup://factset/Doc Viewer Single?float_window=true&amp;positioning_strategy=center_on_screen&amp;_doc_docfn=U2FsdGVkX19bMiCbqFKKrxOVeW2jN4G/RihxCGLLX3+JfAWOhm7L8mPKbDPCiCw5CZoVLFFcbdX8VMJlxbCzf+VrYjsSxlg4m/YXn8Nm0rw=&amp;_app_id=central_doc_viewer&amp;center_on_screen=true&amp;width=950&amp;height=800&amp;_dd2=%26f%3Dsld%26c%3Dtrue%26os%3D62854%26oe%3D62860" xr:uid="{2BC931BE-1FC8-48E1-B946-38E40EF6EC51}"/>
    <hyperlink ref="E125" r:id="rId240" display="fdsup://factset/Doc Viewer Single?float_window=true&amp;positioning_strategy=center_on_screen&amp;_doc_docfn=U2FsdGVkX19nyVoMEWVI/lOcxR8vKiu6s5mp0GqBXGxcaNgNSah9OQiiFoPVGtNwi/ai9BbtxshI8cREpuWGENxIUPvzCsyNI0Jq3Xe6xDg=&amp;_app_id=central_doc_viewer&amp;center_on_screen=true&amp;width=950&amp;height=800&amp;_dd2=%26f%3Dsld%26c%3Dtrue%26os%3D67674%26oe%3D67680" xr:uid="{F749AEAF-2107-4F8D-B96A-8F7FFAB1A204}"/>
    <hyperlink ref="C125" r:id="rId241" display="fdsup://factset/Doc Viewer Single?float_window=true&amp;positioning_strategy=center_on_screen&amp;_doc_docfn=U2FsdGVkX18MF29r3oobFCWLn6SNWnZXPBK4BtyAvZ2Yv6UFwSdQdQ7yBjZbsms0R98DIk+s6NfUCwW9n09ZXW2lwqAGZkEkUUsJs0Wg480=&amp;_app_id=central_doc_viewer&amp;center_on_screen=true&amp;width=950&amp;height=800&amp;_dd2=%26f%3Dsld%26c%3Dtrue%26os%3D1536658%26oe%3D1536664" xr:uid="{6958BD01-B7A9-4192-824E-DD87617F2CF6}"/>
    <hyperlink ref="B125" r:id="rId242" display="fdsup://factset/Doc Viewer Single?float_window=true&amp;positioning_strategy=center_on_screen&amp;_doc_docfn=U2FsdGVkX1/HggaSTuqc16UOQ0FG43q7pscLAe9mXDpQj8SIfov8AexT6sM4ubGrrgrN0zvnRDHdjpNmj5yGNIYC05PZJs0MYEohV0djTqg=&amp;_app_id=central_doc_viewer&amp;center_on_screen=true&amp;width=950&amp;height=800&amp;_dd2=%26f%3Dsld%26c%3Dtrue%26os%3D1380444%26oe%3D1380450" xr:uid="{54D6CD0E-1B8E-46DC-852A-00287EF1E4B7}"/>
    <hyperlink ref="U126" r:id="rId243" display="fdsup://factset/Doc Viewer Single?float_window=true&amp;positioning_strategy=center_on_screen&amp;_doc_docfn=U2FsdGVkX1/Lgo/pAr9yfuwkKp0ZdP18D7u4vPsOsrOJWx+SbAZpJmGfAbATowLLrkd6bymqh9lYM3+tMyO9ZAcZK1I9F7/hHkS/wOi0VL8=&amp;_app_id=central_doc_viewer&amp;center_on_screen=true&amp;width=950&amp;height=800&amp;_dd2=%26f%3Dsld%26c%3Dtrue%26os%3D66658%26oe%3D66664" xr:uid="{EC9E5DA6-6846-44A5-A21F-F87FDC5B103D}"/>
    <hyperlink ref="P126" r:id="rId244" display="fdsup://factset/Doc Viewer Single?float_window=true&amp;positioning_strategy=center_on_screen&amp;_doc_docfn=U2FsdGVkX1+Y8xVV1ATlmKXitUKBu4pieJevWM/fWd/+we4ZVz3IpKcdizyzRRK6yOGfamcP5cHJMznfj1+XF6Wunl8sgyxnBKbxwxkZ0PU=&amp;_app_id=central_doc_viewer&amp;center_on_screen=true&amp;width=950&amp;height=800&amp;_dd2=%26f%3Dsld%26c%3Dtrue%26os%3D66852%26oe%3D66858" xr:uid="{7C8CECD5-9243-4E31-B8F7-45452D29276C}"/>
    <hyperlink ref="K126" r:id="rId245" display="fdsup://factset/Doc Viewer Single?float_window=true&amp;positioning_strategy=center_on_screen&amp;_doc_docfn=U2FsdGVkX1/+hNEgbRhw3ZniVGUdiYfbkvcWCZOrkEDEIOjZqXT1nkD/MGtHrtr3U/ZN/GN6fWAuGutzttHQwr06AOSIiSil6PvmNLmmQRE=&amp;_app_id=central_doc_viewer&amp;center_on_screen=true&amp;width=950&amp;height=800&amp;_dd2=%26f%3Dsld%26c%3Dtrue%26os%3D64970%26oe%3D64976" xr:uid="{F72CC913-F52B-4BB1-AE58-1150F5C4BCFE}"/>
    <hyperlink ref="F126" r:id="rId246" display="fdsup://factset/Doc Viewer Single?float_window=true&amp;positioning_strategy=center_on_screen&amp;_doc_docfn=U2FsdGVkX196fBl98TDVKh7uwYLLgVjCKFp745OrK0V/V53MzpVPX9xM+/dzBfls41ocCiLUYfzPf8ZxVmvNBlcrIO12vnZbJmsLJiQT7K4=&amp;_app_id=central_doc_viewer&amp;center_on_screen=true&amp;width=950&amp;height=800&amp;_dd2=%26f%3Dsld%26c%3Dtrue%26os%3D63861%26oe%3D63867" xr:uid="{B4379ED1-EABC-4A49-8A86-D09BE7F06A7D}"/>
    <hyperlink ref="E126" r:id="rId247" display="fdsup://factset/Doc Viewer Single?float_window=true&amp;positioning_strategy=center_on_screen&amp;_doc_docfn=U2FsdGVkX19i3szaKFr8ojTiAZR4G0Sy/CDZWUZOiXWF0F4cWAWvRU078l/ipTow2E+T5usMgRb9lJp58vMLev5D+ukHS6Il8FNNgDeuysE=&amp;_app_id=central_doc_viewer&amp;center_on_screen=true&amp;width=950&amp;height=800&amp;_dd2=%26f%3Dsld%26c%3Dtrue%26os%3D68681%26oe%3D68687" xr:uid="{89C99AF5-1D47-4068-9019-6629B9084501}"/>
    <hyperlink ref="C126" r:id="rId248" display="fdsup://factset/Doc Viewer Single?float_window=true&amp;positioning_strategy=center_on_screen&amp;_doc_docfn=U2FsdGVkX1/sTE8knZleWGVL1KVJDIZv1yoCppIBxUf0sEpwnT9RWH7BWA4v/zZ3aS5JF/ewkP/hJ09MA56OQVaaKT7LLRiLiVOIrtoxNaI=&amp;_app_id=central_doc_viewer&amp;center_on_screen=true&amp;width=950&amp;height=800&amp;_dd2=%26f%3Dsld%26c%3Dtrue%26os%3D1538525%26oe%3D1538531" xr:uid="{853BAECB-B140-4054-AFD1-2943082C0F91}"/>
    <hyperlink ref="B126" r:id="rId249" display="fdsup://factset/Doc Viewer Single?float_window=true&amp;positioning_strategy=center_on_screen&amp;_doc_docfn=U2FsdGVkX19yaP1OPt8jI08zyLv46CVKlSvy1m3cYu0CfsI+5efOlXUjZ77mF3XuVGqgE2Mwx0bV18hngcPHRS9AjS4X9bcFPRJKHNLXMIQ=&amp;_app_id=central_doc_viewer&amp;center_on_screen=true&amp;width=950&amp;height=800&amp;_dd2=%26f%3Dsld%26c%3Dtrue%26os%3D1382311%26oe%3D1382317" xr:uid="{1D84418A-B660-46C5-A4E1-F46D3A32B832}"/>
    <hyperlink ref="U127" r:id="rId250" display="fdsup://factset/Doc Viewer Single?float_window=true&amp;positioning_strategy=center_on_screen&amp;_doc_docfn=U2FsdGVkX182rsfXpquiZtXfX7wj9ZscHr1w5emFNrqb2oRgQEF1pKFmRz9zvNldHLFz7k+GO02GmWqtgPVrwM4wZQfuB0WyhhGZjuBhgbY=&amp;_app_id=central_doc_viewer&amp;center_on_screen=true&amp;width=950&amp;height=800&amp;_dd2=%26f%3Dsld%26c%3Dtrue%26os%3D67160%26oe%3D67167" xr:uid="{EBD23357-C683-4644-9958-46BFBB08D0D8}"/>
    <hyperlink ref="P127" r:id="rId251" display="fdsup://factset/Doc Viewer Single?float_window=true&amp;positioning_strategy=center_on_screen&amp;_doc_docfn=U2FsdGVkX1+pAUiZh1IJolgPHJ5FMi1f+PH+u75mclSzFR9AKKs/cdCevFjmi3myfbmRVmM5WKDQC0mjoMOo97f3IYT2mviKj2W8fX4VH+M=&amp;_app_id=central_doc_viewer&amp;center_on_screen=true&amp;width=950&amp;height=800&amp;_dd2=%26f%3Dsld%26c%3Dtrue%26os%3D67347%26oe%3D67354" xr:uid="{DD368C86-7F46-4FD4-AE2B-6D334C41DD7E}"/>
    <hyperlink ref="K127" r:id="rId252" display="fdsup://factset/Doc Viewer Single?float_window=true&amp;positioning_strategy=center_on_screen&amp;_doc_docfn=U2FsdGVkX18aX4nuErGtAzzg4NF+sNTJehMjQNcSwwmj3eyGZq7uIqMussnN4sTnvC5whTEuX9Yl3c7zSxMYFwL9jp5XpMne/tEVSmPV/Cg=&amp;_app_id=central_doc_viewer&amp;center_on_screen=true&amp;width=950&amp;height=800&amp;_dd2=%26f%3Dsld%26c%3Dtrue%26os%3D65469%26oe%3D65476" xr:uid="{B75BF794-EA55-4EA7-8B3D-CF0408914F62}"/>
    <hyperlink ref="F127" r:id="rId253" display="fdsup://factset/Doc Viewer Single?float_window=true&amp;positioning_strategy=center_on_screen&amp;_doc_docfn=U2FsdGVkX198xaKN3QG9jqZlzICfL84Bod7GjQsvb8OQbT4JXvK+0C4D1TabPAcjr3j9p8Jdf+sQS0b0o/rznMJy6jbGWtCBB++6sE7WCxk=&amp;_app_id=central_doc_viewer&amp;center_on_screen=true&amp;width=950&amp;height=800&amp;_dd2=%26f%3Dsld%26c%3Dtrue%26os%3D64374%26oe%3D64381" xr:uid="{3ACAC40F-813F-47A7-94F1-B49846382BB6}"/>
    <hyperlink ref="E127" r:id="rId254" display="fdsup://factset/Doc Viewer Single?float_window=true&amp;positioning_strategy=center_on_screen&amp;_doc_docfn=U2FsdGVkX18U4lIQ11/VIyiIKLWn5j0REYKVbLUgPpOFNk0q3FhZeNngOc2hEpUQLw7j+QigFCPyzF80Z2bCSxX8C848EsxVRx8JfCtgLcs=&amp;_app_id=central_doc_viewer&amp;center_on_screen=true&amp;width=950&amp;height=800&amp;_dd2=%26f%3Dsld%26c%3Dtrue%26os%3D69194%26oe%3D69201" xr:uid="{C960238C-8F6D-415E-AFAA-BF7CAC9B688A}"/>
    <hyperlink ref="C127" r:id="rId255" display="fdsup://factset/Doc Viewer Single?float_window=true&amp;positioning_strategy=center_on_screen&amp;_doc_docfn=U2FsdGVkX1+Rs9ieQX7bzF2rQ5EszGZJdUSGSoE0e9h29qECWEcZ0iXAkeAuOtW+ABvSMXQIT7G5K5eYwX1DZUrKEaXPzS8GQyTxi3ErAAE=&amp;_app_id=central_doc_viewer&amp;center_on_screen=true&amp;width=950&amp;height=800&amp;_dd2=%26f%3Dsld%26c%3Dtrue%26os%3D1539776%26oe%3D1539785" xr:uid="{221A0D52-ADEC-48EB-9AE7-48633C93286D}"/>
    <hyperlink ref="B127" r:id="rId256" display="fdsup://factset/Doc Viewer Single?float_window=true&amp;positioning_strategy=center_on_screen&amp;_doc_docfn=U2FsdGVkX1/vBacKjGP0rsL46wB45ezZCqPPw89DlDPsG0Q/CoHoOmL6iHA7InoyY5YDeyzpmMW08Qe8nXjnDb5VdeU5BkBpor9eUuiOiwE=&amp;_app_id=central_doc_viewer&amp;center_on_screen=true&amp;width=950&amp;height=800&amp;_dd2=%26f%3Dsld%26c%3Dtrue%26os%3D1383566%26oe%3D1383573" xr:uid="{21D7F2AD-B216-4859-BE3F-58006DC6021B}"/>
    <hyperlink ref="U128" r:id="rId257" display="fdsup://factset/Doc Viewer Single?float_window=true&amp;positioning_strategy=center_on_screen&amp;_doc_docfn=U2FsdGVkX1/GVrVEoBCP4rcxp19CefI/MGf2y6JPAdTCc6CQhKwb76lr+IIAeK01OgOHXzpmY88ZOTOeHFvsg33dQeLBbLu6YFIWHonPYFg=&amp;_app_id=central_doc_viewer&amp;center_on_screen=true&amp;width=950&amp;height=800&amp;_dd2=%26f%3Dsld%26c%3Dtrue%26os%3D67652%26oe%3D67659" xr:uid="{F8254526-D6AE-46F1-8321-4EEC54615BE3}"/>
    <hyperlink ref="P128" r:id="rId258" display="fdsup://factset/Doc Viewer Single?float_window=true&amp;positioning_strategy=center_on_screen&amp;_doc_docfn=U2FsdGVkX1+5L0mneM/cFs6Nqn3UtisawIEDTEF8xdHxUGumduk5h8GXX39UVT8P5nGQG0uByjQN0mR6BTEt2VuSdNJmST9TSa4LQ4ElqYQ=&amp;_app_id=central_doc_viewer&amp;center_on_screen=true&amp;width=950&amp;height=800&amp;_dd2=%26f%3Dsld%26c%3Dtrue%26os%3D67843%26oe%3D67850" xr:uid="{538B40D2-56A5-4735-B2E1-505BBF7C39FE}"/>
    <hyperlink ref="K128" r:id="rId259" display="fdsup://factset/Doc Viewer Single?float_window=true&amp;positioning_strategy=center_on_screen&amp;_doc_docfn=U2FsdGVkX1+FaW0d5XjXIHFVy9hXWrhO6Zp2BXvVXEqxtReiSUzxueNmMDfxhT6ugt25wgag/v1J9MROFTFlLV7GrGMVQR0WjbmHOFox83A=&amp;_app_id=central_doc_viewer&amp;center_on_screen=true&amp;width=950&amp;height=800&amp;_dd2=%26f%3Dsld%26c%3Dtrue%26os%3D65969%26oe%3D65976" xr:uid="{476EBAFB-9AEC-4B21-9464-F1A9DB2BEA95}"/>
    <hyperlink ref="F128" r:id="rId260" display="fdsup://factset/Doc Viewer Single?float_window=true&amp;positioning_strategy=center_on_screen&amp;_doc_docfn=U2FsdGVkX18g93UFc0jKZod+jkmFhDqdSZqh9DzqLZ6tMrKqFaHyWvQk+dNSDs08TuN9OgqlS61SnUwpWZ3lOu+P9YD48QcQHvqBXNcwOPI=&amp;_app_id=central_doc_viewer&amp;center_on_screen=true&amp;width=950&amp;height=800&amp;_dd2=%26f%3Dsld%26c%3Dtrue%26os%3D64887%26oe%3D64893" xr:uid="{23FEB38E-9C28-4D04-9DBB-492C69FFBD0D}"/>
    <hyperlink ref="E128" r:id="rId261" display="fdsup://factset/Doc Viewer Single?float_window=true&amp;positioning_strategy=center_on_screen&amp;_doc_docfn=U2FsdGVkX1+nZ8T3o6oKIRWKmjxy++f7+N//nhICDy+TQ1PGt72YxhfwNBiU4iYnnqqmCtzN1LjL7LrVaxE3dJZ5tPX0KGUch40ITD55ilI=&amp;_app_id=central_doc_viewer&amp;center_on_screen=true&amp;width=950&amp;height=800&amp;_dd2=%26f%3Dsld%26c%3Dtrue%26os%3D69705%26oe%3D69711" xr:uid="{445CE69F-EEED-4F64-801A-88BE3AA3939D}"/>
    <hyperlink ref="C129" r:id="rId262" display="fdsup://factset/Doc Viewer Single?float_window=true&amp;positioning_strategy=center_on_screen&amp;_doc_docfn=U2FsdGVkX18aMpxw1ojAsmSeGL2OpaNZ5LomXF9wpH1QQM+qXhrzkhn7aHdL4OwanGTyNagbST11qeUJv6eg8oDYMv9XkoEpMR6iccsuzas=&amp;_app_id=central_doc_viewer&amp;center_on_screen=true&amp;width=950&amp;height=800&amp;_dd2=%26f%3Dsld%26c%3Dtrue%26os%3D1539143%26oe%3D1539148" xr:uid="{B898B60F-19B9-4180-8150-2CD879B4704E}"/>
    <hyperlink ref="B129" r:id="rId263" display="fdsup://factset/Doc Viewer Single?float_window=true&amp;positioning_strategy=center_on_screen&amp;_doc_docfn=U2FsdGVkX1/jlDP1HQ583jm7oi+7W2rWEa86QorLIxhkUjhd4J+a9I421wP7MKJNIWHKswbPdpV78+wDd2CXp4zVu/CbkwHpkFbwBHwAdOQ=&amp;_app_id=central_doc_viewer&amp;center_on_screen=true&amp;width=950&amp;height=800&amp;_dd2=%26f%3Dsld%26c%3Dtrue%26os%3D1382951%26oe%3D1382956" xr:uid="{65602988-A824-4888-A234-3A0895C17D8F}"/>
    <hyperlink ref="C130" r:id="rId264" display="fdsup://factset/Doc Viewer Single?float_window=true&amp;positioning_strategy=center_on_screen&amp;_doc_docfn=U2FsdGVkX1/x32xRd14CgBi7i8DLFB1N4QwMboiaGkIRO0hoBcrwvpK+8+2KGarPlagKdmdpsjRQC5lH++gP8ryfobAhqEQe/cCqNuiUjSU=&amp;_app_id=central_doc_viewer&amp;center_on_screen=true&amp;width=950&amp;height=800&amp;_dd2=%26f%3Dsld%26c%3Dtrue%26os%3D1540420%26oe%3D1540425" xr:uid="{A4D67462-24B3-461F-A93A-F4705E7D142F}"/>
    <hyperlink ref="B130" r:id="rId265" display="fdsup://factset/Doc Viewer Single?float_window=true&amp;positioning_strategy=center_on_screen&amp;_doc_docfn=U2FsdGVkX1/SGUCgDZIA4xV7Y33MR5yDXK6roKh69tNQuZfd6sJPYY0FBLOiTSUhg3hmAbwQXnSo1GrN4C0yc+9lHtgbfPx+OeCwy1l8gAE=&amp;_app_id=central_doc_viewer&amp;center_on_screen=true&amp;width=950&amp;height=800&amp;_dd2=%26f%3Dsld%26c%3Dtrue%26os%3D1384226%26oe%3D1384231" xr:uid="{BDEA493B-91AE-4FEF-BA77-3351C006A0E1}"/>
    <hyperlink ref="U131" r:id="rId266" display="fdsup://factset/Doc Viewer Single?float_window=true&amp;positioning_strategy=center_on_screen&amp;_doc_docfn=U2FsdGVkX1/tQdGyYT2zXE3UlIlig5r5x8A+iPBAjZlUcb5BIFMspM20Vd0j3T+svCxKKQYysdw+SeodLIPR2sEJfoGoWt/BYqQG8AGLVkY=&amp;_app_id=central_doc_viewer&amp;center_on_screen=true&amp;width=950&amp;height=800&amp;_dd2=%26f%3Dsld%26c%3Dtrue%26os%3D71949%26oe%3D71958" xr:uid="{6285B336-A9B2-4283-9D3E-13DBCBD3E6F1}"/>
    <hyperlink ref="P131" r:id="rId267" display="fdsup://factset/Doc Viewer Single?float_window=true&amp;positioning_strategy=center_on_screen&amp;_doc_docfn=U2FsdGVkX18MMjTP0O+qhpaASMxvLiJb35SD0zSBH6TN50qQAttPm7LQEIuJcGSGI5/qKcT6MqFeD81rv0zvMetUZ3YdCm6CoV5273XLYI8=&amp;_app_id=central_doc_viewer&amp;center_on_screen=true&amp;width=950&amp;height=800&amp;_dd2=%26f%3Dsld%26c%3Dtrue%26os%3D72135%26oe%3D72144" xr:uid="{A44BFBF0-F27D-42EF-BE07-88BCA08835D3}"/>
    <hyperlink ref="K131" r:id="rId268" display="fdsup://factset/Doc Viewer Single?float_window=true&amp;positioning_strategy=center_on_screen&amp;_doc_docfn=U2FsdGVkX1/M+rZK6vltAn56yB5xQLphocDrIDxP4ROzYgblZXhU80lnoQohtPVtdC98FkCJXytZPUfPhdxQgK663kc7hdriD78wfe2HArw=&amp;_app_id=central_doc_viewer&amp;center_on_screen=true&amp;width=950&amp;height=800&amp;_dd2=%26f%3Dsld%26c%3Dtrue%26os%3D70120%26oe%3D70129" xr:uid="{43E1570A-C485-4E5C-BAA3-8E614112F520}"/>
    <hyperlink ref="F131" r:id="rId269" display="fdsup://factset/Doc Viewer Single?float_window=true&amp;positioning_strategy=center_on_screen&amp;_doc_docfn=U2FsdGVkX18/nznLgo4I9LMltDUcb97HOw+A6/l+/bpxrTbvUuA3dDp3PicKPKVDjNtZBowmCP5CQBgjJjaB0J1Imwl6qWk/j2zfRWTC1JU=&amp;_app_id=central_doc_viewer&amp;center_on_screen=true&amp;width=950&amp;height=800&amp;_dd2=%26f%3Dsld%26c%3Dtrue%26os%3D68538%26oe%3D68547" xr:uid="{0FFB14F9-E03B-4415-9FFF-66AB166AC24C}"/>
    <hyperlink ref="E131" r:id="rId270" display="fdsup://factset/Doc Viewer Single?float_window=true&amp;positioning_strategy=center_on_screen&amp;_doc_docfn=U2FsdGVkX1+MVBifOIafK52iZQEx4Z3doHmwNXcBvsQLT7QvxJPMtcf4Xw0e+3CBpD/Fck9jVH0z+725IH+gnYD2tfipY2BHfa/9m5WvjOE=&amp;_app_id=central_doc_viewer&amp;center_on_screen=true&amp;width=950&amp;height=800&amp;_dd2=%26f%3Dsld%26c%3Dtrue%26os%3D72856%26oe%3D72865" xr:uid="{2484027D-75AC-4A15-8DB6-60ED6C2BFDC1}"/>
    <hyperlink ref="C131" r:id="rId271" display="fdsup://factset/Doc Viewer Single?float_window=true&amp;positioning_strategy=center_on_screen&amp;_doc_docfn=U2FsdGVkX18K1sYNYYDi7PZ7np1HEN3Og4ylUyev0UufzPDIEQnSSKOrvlb/3vBlSNo0b70LvhBPz6xErOyeKClg9px8JQg88MZHOPzCezs=&amp;_app_id=central_doc_viewer&amp;center_on_screen=true&amp;width=950&amp;height=800&amp;_dd2=%26f%3Dsld%26c%3Dtrue%26os%3D1545986%26oe%3D1545993" xr:uid="{5EA52EAF-4FE6-42D3-B260-B5776C5B3273}"/>
    <hyperlink ref="B131" r:id="rId272" display="fdsup://factset/Doc Viewer Single?float_window=true&amp;positioning_strategy=center_on_screen&amp;_doc_docfn=U2FsdGVkX19AwAgL9S04JLfs5XOglX2AFmSXAwTO3xd2T3ps4mvpzqs4uhVK9R8VYEikO0CuXjiyb+hA2G0OGhWSC0e/LcioCMrnhkPFbLM=&amp;_app_id=central_doc_viewer&amp;center_on_screen=true&amp;width=950&amp;height=800&amp;_dd2=%26f%3Dsld%26c%3Dtrue%26os%3D1389763%26oe%3D1389770" xr:uid="{43273770-BF30-4243-95BD-A9C82AC2B5C7}"/>
    <hyperlink ref="U132" r:id="rId273" display="fdsup://factset/Doc Viewer Single?float_window=true&amp;positioning_strategy=center_on_screen&amp;_doc_docfn=U2FsdGVkX19Yib5DvqVdRSzOVbAeUq9l165T9C34F9CyDYiLel9FirjVpDN03RXbSmVJ1oltuCjmnyPEgaU1Zdhq4Z139fUYYuwDU05I3Ig=&amp;_app_id=central_doc_viewer&amp;center_on_screen=true&amp;width=950&amp;height=800&amp;_dd2=%26f%3Dsld%26c%3Dtrue%26os%3D69366%26oe%3D69367" xr:uid="{DF7F9549-4B93-49C8-87E0-B0CB22BD9378}"/>
    <hyperlink ref="P132" r:id="rId274" display="fdsup://factset/Doc Viewer Single?float_window=true&amp;positioning_strategy=center_on_screen&amp;_doc_docfn=U2FsdGVkX18YgRzwZHfTSC/cYN6byv0HuGxr+BjUFuyOs5B8Ms2dqLk9RQsMCuUongoxaOc/Yf7WQugOsXUsUPFfDIxBFa9wV3zVHCMWYLE=&amp;_app_id=central_doc_viewer&amp;center_on_screen=true&amp;width=950&amp;height=800&amp;_dd2=%26f%3Dsld%26c%3Dtrue%26os%3D69536%26oe%3D69537" xr:uid="{F7350BD0-10BF-4E2D-9963-78A06FAD0D4A}"/>
    <hyperlink ref="K132" r:id="rId275" display="fdsup://factset/Doc Viewer Single?float_window=true&amp;positioning_strategy=center_on_screen&amp;_doc_docfn=U2FsdGVkX1+g4UpOHrB3+aQWH//TcsBuv6dtHaXLodGQwgLtMCJOUD+q1bMaaZY957xnHYqyT/JxCr5VFpbHiM1rYG1g94DS5SLwMQmsanM=&amp;_app_id=central_doc_viewer&amp;center_on_screen=true&amp;width=950&amp;height=800&amp;_dd2=%26f%3Dsld%26c%3Dtrue%26os%3D67560%26oe%3D67561" xr:uid="{2A857791-3263-4FD0-B458-CABFABAD8E34}"/>
    <hyperlink ref="F132" r:id="rId276" display="fdsup://factset/Doc Viewer Single?float_window=true&amp;positioning_strategy=center_on_screen&amp;_doc_docfn=U2FsdGVkX19FvBVPBHz2ot4nnYFKtEn0HmTsun9d/QB4Ib6/u4d522zCdjInVVgFTIXlDjyXxDeSILDYEj0GY4yR6GiBnZ3hzKfs8grn5+4=&amp;_app_id=central_doc_viewer&amp;center_on_screen=true&amp;width=950&amp;height=800&amp;_dd2=%26f%3Dsld%26c%3Dtrue%26os%3D66491%26oe%3D66492" xr:uid="{EA344446-1B27-4101-A7A8-F188576FD0F9}"/>
    <hyperlink ref="E132" r:id="rId277" display="fdsup://factset/Doc Viewer Single?float_window=true&amp;positioning_strategy=center_on_screen&amp;_doc_docfn=U2FsdGVkX1/zRsbNwV1EzAdlIo1LIfNK+KHUTFNwe89uyZ2EbZRsNInQl3ARQwGOmXLuSiH7AhIX7qDBR3GOnz9BS1QsxsQ8WHro05ewwGE=&amp;_app_id=central_doc_viewer&amp;center_on_screen=true&amp;width=950&amp;height=800&amp;_dd2=%26f%3Dsld%26c%3Dtrue%26os%3D71309%26oe%3D71310" xr:uid="{E196FD08-4616-4095-8229-08C6D3EEBE04}"/>
    <hyperlink ref="U133" r:id="rId278" display="fdsup://factset/Doc Viewer Single?float_window=true&amp;positioning_strategy=center_on_screen&amp;_doc_docfn=U2FsdGVkX19j/dKFegBpfZKJ6m+H4ctwBo1WG6TIeq/5+YYC/oM8hHN25GrBWRjlTNYHthyxNtaoermxc1XIF2PYfrKR8tagwPg9o+FCz30=&amp;_app_id=central_doc_viewer&amp;center_on_screen=true&amp;width=950&amp;height=800&amp;_dd2=%26f%3Dsld%26c%3Dtrue%26os%3D69830%26oe%3D69839" xr:uid="{6618F578-5D6B-43C7-A758-3FC9901175E5}"/>
    <hyperlink ref="P133" r:id="rId279" display="fdsup://factset/Doc Viewer Single?float_window=true&amp;positioning_strategy=center_on_screen&amp;_doc_docfn=U2FsdGVkX1+fDaDcWZIfwMvMjHwhocBQbnp212LzUKxqkOQpoOQMti4WIbruJHl318OQ2fN8DmnR6dxJs9xVeGiiGx3BOA9renO9jW+Bid0=&amp;_app_id=central_doc_viewer&amp;center_on_screen=true&amp;width=950&amp;height=800&amp;_dd2=%26f%3Dsld%26c%3Dtrue%26os%3D70021%26oe%3D70030" xr:uid="{0A4771A2-2EBC-45E3-B493-8464B1CC08AF}"/>
    <hyperlink ref="K133" r:id="rId280" display="fdsup://factset/Doc Viewer Single?float_window=true&amp;positioning_strategy=center_on_screen&amp;_doc_docfn=U2FsdGVkX18cpenK8lSf/HYuNpvUIXI5YFmKaj1GMiRQ92s6my1ocZieo1dJuDeOIYUNM7RJxPMgNB4dTZPCmeRFwa1LGlR4cMo5KqNmsHM=&amp;_app_id=central_doc_viewer&amp;center_on_screen=true&amp;width=950&amp;height=800&amp;_dd2=%26f%3Dsld%26c%3Dtrue%26os%3D68067%26oe%3D68076" xr:uid="{DB6CD51E-8BD6-4820-9CCB-0F6B3A8AA608}"/>
    <hyperlink ref="F133" r:id="rId281" display="fdsup://factset/Doc Viewer Single?float_window=true&amp;positioning_strategy=center_on_screen&amp;_doc_docfn=U2FsdGVkX1/NBfqfuZnvgQ+e3FrFhIoshHrcLH5JzU2/vBgD7khSSLyoH7G/7mCU+3fmilz1TT2eFFl6l/VGq43Pq8Bj25LuAs7ZCltz3bw=&amp;_app_id=central_doc_viewer&amp;center_on_screen=true&amp;width=950&amp;height=800&amp;_dd2=%26f%3Dsld%26c%3Dtrue%26os%3D67012%26oe%3D67021" xr:uid="{58EC676E-EB9B-4C32-A248-E48466E9FEBF}"/>
    <hyperlink ref="E133" r:id="rId282" display="fdsup://factset/Doc Viewer Single?float_window=true&amp;positioning_strategy=center_on_screen&amp;_doc_docfn=U2FsdGVkX1+87heEyU9+kDc7vGtkug0Hns/EANaMHWlwpaPbVBbi5eX6xhHWhTMpzVMXKsvnKiH1vFbioB6o7PUWmUjoG/8x7j1cMOutwls=&amp;_app_id=central_doc_viewer&amp;center_on_screen=true&amp;width=950&amp;height=800&amp;_dd2=%26f%3Dsld%26c%3Dtrue%26os%3D71830%26oe%3D71839" xr:uid="{D91053E4-BCFC-4D6A-9012-C160C1ADA188}"/>
    <hyperlink ref="C133" r:id="rId283" display="fdsup://factset/Doc Viewer Single?float_window=true&amp;positioning_strategy=center_on_screen&amp;_doc_docfn=U2FsdGVkX18T00CNP/Fnxk9IsWRnb7xRksT6iw7st1KVXr0FCZKAR01DclQTirtjR1STSchONeCkYliLLbOIFlbhGFo0Rb4n0BxmmBfV40k=&amp;_app_id=central_doc_viewer&amp;center_on_screen=true&amp;width=950&amp;height=800&amp;_dd2=%26f%3Dsld%26c%3Dtrue%26os%3D1544115%26oe%3D1544122" xr:uid="{7E3C8236-4456-4266-9C4B-085A53D3D4A3}"/>
    <hyperlink ref="B133" r:id="rId284" display="fdsup://factset/Doc Viewer Single?float_window=true&amp;positioning_strategy=center_on_screen&amp;_doc_docfn=U2FsdGVkX1/Q3QHbECfxCDR1ozDgKv/7ZlQNm17QnfRfnVAubl7Yu0RMHsFQiuwBWzxOZrCc4OSK/EfMwekwZtoMn5dZdkZnd2ZipaA/SgA=&amp;_app_id=central_doc_viewer&amp;center_on_screen=true&amp;width=950&amp;height=800&amp;_dd2=%26f%3Dsld%26c%3Dtrue%26os%3D1387896%26oe%3D1387903" xr:uid="{5A0BDCCF-D32D-448D-9794-CDB90F3E9FE3}"/>
    <hyperlink ref="U134" r:id="rId285" display="fdsup://factset/Doc Viewer Single?float_window=true&amp;positioning_strategy=center_on_screen&amp;_doc_docfn=U2FsdGVkX18xZDlC/JfjTYKsHdcFWvnHAlyaLkcPX0xtdDG40PbVmUlkPFsf8z4wDo8cmJ/BKmm8U7ChpFz83TNSJkyElILa6Md4NbmBCdM=&amp;_app_id=central_doc_viewer&amp;center_on_screen=true&amp;width=950&amp;height=800&amp;_dd2=%26f%3Dsld%26c%3Dtrue%26os%3D70345%26oe%3D70351" xr:uid="{1D74E6BC-6BA2-4FC3-A93D-0770B5B7316F}"/>
    <hyperlink ref="P134" r:id="rId286" display="fdsup://factset/Doc Viewer Single?float_window=true&amp;positioning_strategy=center_on_screen&amp;_doc_docfn=U2FsdGVkX1/CaAq0b9poRoG+PRSlitjWtQJwxpv5yTi1ZOUl5QSR+eBI7VLvDOlxB/3196PrIyKI9Eqb0BstfjGWInAnKDxgXiwLXqJbKPQ=&amp;_app_id=central_doc_viewer&amp;center_on_screen=true&amp;width=950&amp;height=800&amp;_dd2=%26f%3Dsld%26c%3Dtrue%26os%3D70542%26oe%3D70550" xr:uid="{8F3F0BBD-5869-4CC9-926F-2D9F86D1925E}"/>
    <hyperlink ref="K134" r:id="rId287" display="fdsup://factset/Doc Viewer Single?float_window=true&amp;positioning_strategy=center_on_screen&amp;_doc_docfn=U2FsdGVkX18f8LBADE0N2wVb/sd7hqa4EKJJJ4SFSBVBegqO2FE9U13TDt+kw0n6Jrja2OzxrU8lb+4fFTP77n3E5RHEBIqys01lpJ7UgLc=&amp;_app_id=central_doc_viewer&amp;center_on_screen=true&amp;width=950&amp;height=800&amp;_dd2=%26f%3Dsld%26c%3Dtrue%26os%3D68575%26oe%3D68584" xr:uid="{6458F9D8-BD9E-47E8-A87B-048784EB769C}"/>
    <hyperlink ref="F134" r:id="rId288" display="fdsup://factset/Doc Viewer Single?float_window=true&amp;positioning_strategy=center_on_screen&amp;_doc_docfn=U2FsdGVkX1/quoymc6PfOJgIh+yj17mf3QYDKlOI7a+lVBqTCmgMvAA+I3X2knGuCbfs1vuGqIjjLvXXTZf+HhYBBol41gpYK/OrgeHvPwA=&amp;_app_id=central_doc_viewer&amp;center_on_screen=true&amp;width=950&amp;height=800&amp;_dd2=%26f%3Dsld%26c%3Dtrue%26os%3D67536%26oe%3D67545" xr:uid="{C2C442E8-E7A4-486F-9D60-B3ECC7FF0DA7}"/>
    <hyperlink ref="E134" r:id="rId289" display="fdsup://factset/Doc Viewer Single?float_window=true&amp;positioning_strategy=center_on_screen&amp;_doc_docfn=U2FsdGVkX19WXgqdxfYGl+/PbaRSNJn1xLYvQAajCKEc4c9EsBQ42IpE/A/a1eUuOH3yAAE9kYiuvrSajwhf6o+Pk6SwciOUyuekapMgWow=&amp;_app_id=central_doc_viewer&amp;center_on_screen=true&amp;width=950&amp;height=800&amp;_dd2=%26f%3Dsld%26c%3Dtrue%26os%3D72354%26oe%3D72363" xr:uid="{1B3112C7-4CC3-4CBF-86A8-168DBF040AD1}"/>
    <hyperlink ref="C134" r:id="rId290" display="fdsup://factset/Doc Viewer Single?float_window=true&amp;positioning_strategy=center_on_screen&amp;_doc_docfn=U2FsdGVkX1+5g2QuvKnYc2q5aQAWSMOPOTxJlQoQ896IZFeYP4wtn6eeg9V35Y/JgMuFJI4K4OLlUXaea2qEzpYcgOhiSDg+C+sGXBN5xeE=&amp;_app_id=central_doc_viewer&amp;center_on_screen=true&amp;width=950&amp;height=800&amp;_dd2=%26f%3Dsld%26c%3Dtrue%26os%3D1544711%26oe%3D1544719" xr:uid="{03CE8E20-91B3-48DA-930C-30F5C8E3C49B}"/>
    <hyperlink ref="B134" r:id="rId291" display="fdsup://factset/Doc Viewer Single?float_window=true&amp;positioning_strategy=center_on_screen&amp;_doc_docfn=U2FsdGVkX18GJZSr3snUQFZzbtFfcOoq6eNwf5de/WkRrD5bg8lw55IlXXSlqiRvpGheGyWRMRsp35O4ZD9hgcEE3GIEcSKdtBqlxBapS98=&amp;_app_id=central_doc_viewer&amp;center_on_screen=true&amp;width=950&amp;height=800&amp;_dd2=%26f%3Dsld%26c%3Dtrue%26os%3D1388510%26oe%3D1388518" xr:uid="{F8D96472-BAC0-4694-819E-7F0E50F68CA5}"/>
    <hyperlink ref="U135" r:id="rId292" display="fdsup://factset/Doc Viewer Single?float_window=true&amp;positioning_strategy=center_on_screen&amp;_doc_docfn=U2FsdGVkX1+S4IvhGNKCfkrY3SJKDPcho7vuguoyV37sZzp0hDaBQe+lf1FyZIDAGwH7koX7Lx6Hh2FJfMTnLmpj4MRurelYjFzIZJd0PQs=&amp;_app_id=central_doc_viewer&amp;center_on_screen=true&amp;width=950&amp;height=800&amp;_dd2=%26f%3Dsld%26c%3Dtrue%26os%3D70883%26oe%3D70890" xr:uid="{322519DC-F4E1-449E-BCAA-5F48AD5EA872}"/>
    <hyperlink ref="P135" r:id="rId293" display="fdsup://factset/Doc Viewer Single?float_window=true&amp;positioning_strategy=center_on_screen&amp;_doc_docfn=U2FsdGVkX1+jVc2oxEJMh6bXHrxqOll/rGq5u/ru0sma2+/v414e4AoecEQua6jQI/mpGo1ktk2W2VwSA4zkwP3btkj7xJOHyaLBOMXG/bk=&amp;_app_id=central_doc_viewer&amp;center_on_screen=true&amp;width=950&amp;height=800&amp;_dd2=%26f%3Dsld%26c%3Dtrue%26os%3D71093%26oe%3D71098" xr:uid="{D27EDAF2-057B-4E16-9DCF-684E926445CA}"/>
    <hyperlink ref="K135" r:id="rId294" display="fdsup://factset/Doc Viewer Single?float_window=true&amp;positioning_strategy=center_on_screen&amp;_doc_docfn=U2FsdGVkX19cBMpr0I7O1N6ReVJd1JED8HdpTANTluUYSr9KFcGsbUbTSOGpniKHEHX7pooqJTmZ8vqz7pOqFbiYbpUtu3ZkzV3O7zMz9O8=&amp;_app_id=central_doc_viewer&amp;center_on_screen=true&amp;width=950&amp;height=800&amp;_dd2=%26f%3Dsld%26c%3Dtrue%26os%3D69059%26oe%3D69060" xr:uid="{44D0AFB2-FDB4-4E68-8F48-CAA342EF2F36}"/>
    <hyperlink ref="U136" r:id="rId295" display="fdsup://factset/Doc Viewer Single?float_window=true&amp;positioning_strategy=center_on_screen&amp;_doc_docfn=U2FsdGVkX1/1j5XxmqJE2JDAem4spcbtKe56d5TQt2XQ3kmY4LNLfwJsVAgAD6FMmclTjRNhJnQAW7UFZKHhkkB5R9IPZUQhrvm7J6PYd5Q=&amp;_app_id=central_doc_viewer&amp;center_on_screen=true&amp;width=950&amp;height=800&amp;_dd2=%26f%3Dsld%26c%3Dtrue%26os%3D71466%26oe%3D71475" xr:uid="{713378B8-FACC-43D1-8019-B22A58A9529C}"/>
    <hyperlink ref="P136" r:id="rId296" display="fdsup://factset/Doc Viewer Single?float_window=true&amp;positioning_strategy=center_on_screen&amp;_doc_docfn=U2FsdGVkX19FL+7armULH7cAeCjNXNKhc82aZGcqjcHvfsf+xK4g+pUD2PNTLKmdcKryKTCc0tmCihhE1bZPRWFDz+syHOW9Sj5rTNaW+pY=&amp;_app_id=central_doc_viewer&amp;center_on_screen=true&amp;width=950&amp;height=800&amp;_dd2=%26f%3Dsld%26c%3Dtrue%26os%3D71651%26oe%3D71660" xr:uid="{9B408737-3BEF-4CBE-B14E-8A8AE43BAD48}"/>
    <hyperlink ref="K136" r:id="rId297" display="fdsup://factset/Doc Viewer Single?float_window=true&amp;positioning_strategy=center_on_screen&amp;_doc_docfn=U2FsdGVkX19ho9a4Bip4HKOaNXKZfVqUPlo7MQnDjHs3w8AtIXIR+vKfFDl9IIiShceDQbAv5bUK3jzDsFQoUQqWBj9b5+tCPO7avOLkGOI=&amp;_app_id=central_doc_viewer&amp;center_on_screen=true&amp;width=950&amp;height=800&amp;_dd2=%26f%3Dsld%26c%3Dtrue%26os%3D69633%26oe%3D69641" xr:uid="{7A5FEE69-D19D-4BB5-B2B5-A5A9BF7B9310}"/>
    <hyperlink ref="F136" r:id="rId298" display="fdsup://factset/Doc Viewer Single?float_window=true&amp;positioning_strategy=center_on_screen&amp;_doc_docfn=U2FsdGVkX19APkmKHAANBbNDSwQn4dUSVqXvPVVkYX1dUdQ/z96eVR1zt5rh31bHxx2+vqj8A1ftndqvRxo6Rh6YzM1gxabRiGeK8ZVNKAs=&amp;_app_id=central_doc_viewer&amp;center_on_screen=true&amp;width=950&amp;height=800&amp;_dd2=%26f%3Dsld%26c%3Dtrue%26os%3D68026%26oe%3D68027" xr:uid="{901FD025-53C3-4DC5-A560-10E177F515A0}"/>
    <hyperlink ref="K137" r:id="rId299" display="fdsup://factset/Doc Viewer Single?float_window=true&amp;positioning_strategy=center_on_screen&amp;_doc_docfn=U2FsdGVkX183wXO88ufEB+v/jnAkUh9zBtnEl4T4sM8u/dt8Cyf8lTltkAjJO4QKTYXm2vfxJpu5cpACPR2keYnM/l4FosKzAzqMDOIKHEA=&amp;_app_id=central_doc_viewer&amp;center_on_screen=true&amp;width=950&amp;height=800&amp;_dd2=%26f%3Dsld%26c%3Dtrue%26os%3D71610%26oe%3D71615" xr:uid="{3A142A58-0CC8-4DD5-8310-A7E477C7C38F}"/>
    <hyperlink ref="F137" r:id="rId300" display="fdsup://factset/Doc Viewer Single?float_window=true&amp;positioning_strategy=center_on_screen&amp;_doc_docfn=U2FsdGVkX197l3gIBucipW4Vz1ONEBbbhAHN9VwhboutIYBZd/3ypIV7UGCEuVNsTDlNnlJckOSplGtmeTVcZsjdzva0zj+YV1H3dPTwIa8=&amp;_app_id=central_doc_viewer&amp;center_on_screen=true&amp;width=950&amp;height=800&amp;_dd2=%26f%3Dsld%26c%3Dtrue%26os%3D70056%26oe%3D70061" xr:uid="{AA76F08D-0C3D-4C03-8D7B-35163E47E705}"/>
    <hyperlink ref="C137" r:id="rId301" display="fdsup://factset/Doc Viewer Single?float_window=true&amp;positioning_strategy=center_on_screen&amp;_doc_docfn=U2FsdGVkX19Xz50B/6CwC0xxWphPQj0M7fUmWAUTBGNNigJxy4Hs87pFaMy8OaXQ8/TDjNklHB4CWNm5hR0dIJ9Jbia71Nb7RuV+wNKsKgI=&amp;_app_id=central_doc_viewer&amp;center_on_screen=true&amp;width=950&amp;height=800&amp;_dd2=%26f%3Dsld%26c%3Dtrue%26os%3D1543445%26oe%3D1543451" xr:uid="{B1A0BBFA-C808-47A8-A39E-CCC47125CE42}"/>
    <hyperlink ref="B137" r:id="rId302" display="fdsup://factset/Doc Viewer Single?float_window=true&amp;positioning_strategy=center_on_screen&amp;_doc_docfn=U2FsdGVkX1/KTM7igqevQcTXCRgxx9ZGr9/obq7HZeDSAOy9PeTjld3n0JrxiOQGwCS+WeTqg4AgzVYl5OA9SiOb81SECe4E6JXGdyXGIEI=&amp;_app_id=central_doc_viewer&amp;center_on_screen=true&amp;width=950&amp;height=800&amp;_dd2=%26f%3Dsld%26c%3Dtrue%26os%3D1387244%26oe%3D1387250" xr:uid="{7D5EAD81-F96C-49AB-AFE3-EA3B2D2B5575}"/>
    <hyperlink ref="U138" r:id="rId303" display="fdsup://factset/Doc Viewer Single?float_window=true&amp;positioning_strategy=center_on_screen&amp;_doc_docfn=U2FsdGVkX18wpBn+XHJDwWUjUspxulS/yraQ8WlAlugBd1swWz4eMCnUYN+3nraSd8owdEt78zV8ozdPIs1SxPPa69E3o19QTpJ8NsedxVY=&amp;_app_id=central_doc_viewer&amp;center_on_screen=true&amp;width=950&amp;height=800&amp;_dd2=%26f%3Dsld%26c%3Dtrue%26os%3D73423%26oe%3D73426" xr:uid="{1CB01AB9-0169-462A-997C-2BA5598282B2}"/>
    <hyperlink ref="P138" r:id="rId304" display="fdsup://factset/Doc Viewer Single?float_window=true&amp;positioning_strategy=center_on_screen&amp;_doc_docfn=U2FsdGVkX19g84+HrcHUrcrY2iji48tcNgw/Z+oA2WHEoa7qvdwVlNhOpIlAnilv2quG1iXcor4Affl/XS2w+TUakPq51vuq/aoVYnlp7hM=&amp;_app_id=central_doc_viewer&amp;center_on_screen=true&amp;width=950&amp;height=800&amp;_dd2=%26f%3Dsld%26c%3Dtrue%26os%3D73597%26oe%3D73600" xr:uid="{0B1110F1-F539-482F-B4C5-5A67579DD4A6}"/>
    <hyperlink ref="K138" r:id="rId305" display="fdsup://factset/Doc Viewer Single?float_window=true&amp;positioning_strategy=center_on_screen&amp;_doc_docfn=U2FsdGVkX1+PE3gJrqsqVWs/gqnvI77Rz43K32fcaeGjE2etR7xSa+7A8qoUubdfM6tO79OLJRbEDQ+hN2Sb2/SLBXEA1zLbaM6r1j/J2ws=&amp;_app_id=central_doc_viewer&amp;center_on_screen=true&amp;width=950&amp;height=800&amp;_dd2=%26f%3Dsld%26c%3Dtrue%26os%3D71610%26oe%3D71615" xr:uid="{DF331470-E87F-4009-9ED9-53FF42544216}"/>
    <hyperlink ref="F138" r:id="rId306" display="fdsup://factset/Doc Viewer Single?float_window=true&amp;positioning_strategy=center_on_screen&amp;_doc_docfn=U2FsdGVkX19WzTNkFJUfNPiJxPM8WTizo5dqDLjCswK5vzbzshxfKsM/C4Qq6PI1dt2J4ZVyXoxW4S+B1tbc7tR9CWLt0GTpfjSi1sfkqfE=&amp;_app_id=central_doc_viewer&amp;center_on_screen=true&amp;width=950&amp;height=800&amp;_dd2=%26f%3Dsld%26c%3Dtrue%26os%3D70056%26oe%3D70061" xr:uid="{1F9FB4C9-B9F3-4696-801C-760A3169C739}"/>
    <hyperlink ref="E138" r:id="rId307" display="fdsup://factset/Doc Viewer Single?float_window=true&amp;positioning_strategy=center_on_screen&amp;_doc_docfn=U2FsdGVkX19E/nCOcTyhiLDf1I4bX0MjrIg0I7h/U7DUNTkJtHB4oNf+oFnPoPAxl5kg3kMPluISFAbiUDr8aYq8MqTuppC4Xg29S0OXKzc=&amp;_app_id=central_doc_viewer&amp;center_on_screen=true&amp;width=950&amp;height=800&amp;_dd2=%26f%3Dsld%26c%3Dtrue%26os%3D74370%26oe%3D74373" xr:uid="{EC396CFF-3E48-4391-AF81-FCA621AA1969}"/>
    <hyperlink ref="U139" r:id="rId308" display="fdsup://factset/Doc Viewer Single?float_window=true&amp;positioning_strategy=center_on_screen&amp;_doc_docfn=U2FsdGVkX19TFC2+LIDuxzGNlVmuHTjlQrFEhtxoZ65qAXVMqyYC56y9Cu05N8jGvUj2WvhhMv/6beVtYfcTWj1DY/18CDmidgfe7euAZeU=&amp;_app_id=central_doc_viewer&amp;center_on_screen=true&amp;width=950&amp;height=800&amp;_dd2=%26f%3Dsld%26c%3Dtrue%26os%3D74348%26oe%3D74351" xr:uid="{002E4F70-1283-469B-A301-56CF82BFEF48}"/>
    <hyperlink ref="P139" r:id="rId309" display="fdsup://factset/Doc Viewer Single?float_window=true&amp;positioning_strategy=center_on_screen&amp;_doc_docfn=U2FsdGVkX19Nw/tbmW7fwXbK+9RXZt8QMMPNe7Bj5+TUeQ5hsTSyeIs2SOX0mGA/Krr63BlyGuSyAotExZ/7jpUboNBc/x0OOebV56HvKJI=&amp;_app_id=central_doc_viewer&amp;center_on_screen=true&amp;width=950&amp;height=800&amp;_dd2=%26f%3Dsld%26c%3Dtrue%26os%3D74517%26oe%3D74520" xr:uid="{5C63B450-DEB0-451E-9F8D-D31A5A48B4DA}"/>
    <hyperlink ref="E139" r:id="rId310" display="fdsup://factset/Doc Viewer Single?float_window=true&amp;positioning_strategy=center_on_screen&amp;_doc_docfn=U2FsdGVkX18Da44STsTKFoZMXNk3Ap1LZCY6/AkJtXxo1mx/SXTYWCGHQe9QpFDUjifdst2jNRsAL86MN5IIQzjYbvD6322covAhvw8sE4Q=&amp;_app_id=central_doc_viewer&amp;center_on_screen=true&amp;width=950&amp;height=800&amp;_dd2=%26f%3Dsld%26c%3Dtrue%26os%3D2122694%26oe%3D2122701" xr:uid="{B5554A29-26CE-4C12-88AE-604AB7916622}"/>
    <hyperlink ref="D139" r:id="rId311" display="fdsup://factset/Doc Viewer Single?float_window=true&amp;positioning_strategy=center_on_screen&amp;_doc_docfn=U2FsdGVkX18KcVxgd/vHsmhueFcZWJDSzOWMuN24lMLrWWLpC3HDjQjc8ZUU76bXPIaRgEat/b7kIaEqKjXsLtN+ad/H9h7BiE3D3jA9vrw=&amp;_app_id=central_doc_viewer&amp;center_on_screen=true&amp;width=950&amp;height=800&amp;_dd2=%26f%3Dsld%26c%3Dtrue%26os%3D74129%26oe%3D74131" xr:uid="{030EA467-AE4D-42CE-8D80-35DCA57D1D96}"/>
    <hyperlink ref="D138" r:id="rId312" display="fdsup://factset/Doc Viewer Single?float_window=true&amp;positioning_strategy=center_on_screen&amp;_doc_docfn=U2FsdGVkX18AzXFid3LtjpH4reoNPUEY2iFTa4nB7jnyQzt8mwKWxwPOwhRv3zPP5XXLWy/EVx1M1QwqLW8EwDN/ut/IHQ0tIyO+oEcxoUg=&amp;_app_id=central_doc_viewer&amp;center_on_screen=true&amp;width=950&amp;height=800&amp;_dd2=%26f%3Dsld%26c%3Dtrue%26os%3D72712%26oe%3D72714" xr:uid="{E1DC7E44-5A3B-40F9-AC1F-B469220D966C}"/>
    <hyperlink ref="D134" r:id="rId313" display="fdsup://factset/Doc Viewer Single?float_window=true&amp;positioning_strategy=center_on_screen&amp;_doc_docfn=U2FsdGVkX1/9tgDVNSDEhsFIpghd4OApqHFBDjEcKR90P8AQxM2Vq/Psij7E74vudal7Gxd6vieWm2EdC2CCttukXdsirayvsytkl7BSO+8=&amp;_app_id=central_doc_viewer&amp;center_on_screen=true&amp;width=950&amp;height=800&amp;_dd2=%26f%3Dsld%26c%3Dtrue%26os%3D70724%26oe%3D70733" xr:uid="{4796FC6F-F77D-4842-90D4-E4F5548EF5E7}"/>
    <hyperlink ref="D133" r:id="rId314" display="fdsup://factset/Doc Viewer Single?float_window=true&amp;positioning_strategy=center_on_screen&amp;_doc_docfn=U2FsdGVkX1+5IJ8IKOk3NIpeHdNSTjGd8z1RY2AdYr10O2Y9nlGUBoOfSjwZaVipaYbN5+kJcPZaOOXvksLZVYegEX19IMSGrZKhMxc29vU=&amp;_app_id=central_doc_viewer&amp;center_on_screen=true&amp;width=950&amp;height=800&amp;_dd2=%26f%3Dsld%26c%3Dtrue%26os%3D70210%26oe%3D70217" xr:uid="{F3F49BF0-9779-45C7-A900-B7C7F687E94C}"/>
    <hyperlink ref="D132" r:id="rId315" display="fdsup://factset/Doc Viewer Single?float_window=true&amp;positioning_strategy=center_on_screen&amp;_doc_docfn=U2FsdGVkX194lxrRS/crSBjFu6Ic5eIYhbnI3gEpabROOkDULaMbkqlt9d/R3D2UCXGVuG0kSQ0Pb44IhEVwk6nH5QNAaxccnrf9Cnlw9Dw=&amp;_app_id=central_doc_viewer&amp;center_on_screen=true&amp;width=950&amp;height=800&amp;_dd2=%26f%3Dsld%26c%3Dtrue%26os%3D69698%26oe%3D69699" xr:uid="{E1C9E613-0120-44DD-8CE5-7EE917077AE9}"/>
    <hyperlink ref="D131" r:id="rId316" display="fdsup://factset/Doc Viewer Single?float_window=true&amp;positioning_strategy=center_on_screen&amp;_doc_docfn=U2FsdGVkX18Q7xyQFMsajucarZAHJgA0YkHGGZn+LjW2rcyDhy9ViBQEWyz9tqDWeO2t18POmcM15gxQ9P8K4GUOFgq7G78P5O587b5Vwsk=&amp;_app_id=central_doc_viewer&amp;center_on_screen=true&amp;width=950&amp;height=800&amp;_dd2=%26f%3Dsld%26c%3Dtrue%26os%3D71217%26oe%3D71224" xr:uid="{F9AFF544-B776-48E1-8F16-480C198CACAD}"/>
    <hyperlink ref="D130" r:id="rId317" display="fdsup://factset/Doc Viewer Single?float_window=true&amp;positioning_strategy=center_on_screen&amp;_doc_docfn=U2FsdGVkX1/vqz1Oz60kdiRYm6UlVWp1WAYMVpHk70+h5b5Q3AdObrPHmg7wUJx6xMyxTQCKIxs73N9XKTm5w1QTeh4zWOeGBdxHzOJuLFM=&amp;_app_id=central_doc_viewer&amp;center_on_screen=true&amp;width=950&amp;height=800&amp;_dd2=%26f%3Dsld%26c%3Dtrue%26os%3D68051%26oe%3D68056" xr:uid="{4DEE2217-376B-4FF7-95CC-E363782604A0}"/>
    <hyperlink ref="D129" r:id="rId318" display="fdsup://factset/Doc Viewer Single?float_window=true&amp;positioning_strategy=center_on_screen&amp;_doc_docfn=U2FsdGVkX1834LhXbaOTZpIGqOVs/K0KvuK+bUNcSiMrQ7d6sG28esEgaXLl3TCATlxRc1/bopCqBgYCTfAygt1xmn60iLlxMSxtweu2ZdM=&amp;_app_id=central_doc_viewer&amp;center_on_screen=true&amp;width=950&amp;height=800&amp;_dd2=%26f%3Dsld%26c%3Dtrue%26os%3D67043%26oe%3D67049" xr:uid="{1F7CBB9B-F1C9-4F5D-B604-89A3927AFFE8}"/>
    <hyperlink ref="D127" r:id="rId319" display="fdsup://factset/Doc Viewer Single?float_window=true&amp;positioning_strategy=center_on_screen&amp;_doc_docfn=U2FsdGVkX1+fimxn8e4n5kfSzMn/uAYm4G6gpQkD72iagAAq2x8pBED0VrJJ8JSXYPnPDyqTR/h0jMSkjMAvvXawYnkbuVATUVjkE09pmsM=&amp;_app_id=central_doc_viewer&amp;center_on_screen=true&amp;width=950&amp;height=800&amp;_dd2=%26f%3Dsld%26c%3Dtrue%26os%3D67549%26oe%3D67558" xr:uid="{32CAD559-87AD-4F5D-ABD4-11D2D1B009E9}"/>
    <hyperlink ref="D126" r:id="rId320" display="fdsup://factset/Doc Viewer Single?float_window=true&amp;positioning_strategy=center_on_screen&amp;_doc_docfn=U2FsdGVkX19G2bYglEwGkrUfZ9z/gw+0vUTaKhk91+hEdUsC+GM0cVxSmUdjjJxradxm/3ZB1qSoRvLJ9JN/4nFdVhavq8WTEeEltPZp9oE=&amp;_app_id=central_doc_viewer&amp;center_on_screen=true&amp;width=950&amp;height=800&amp;_dd2=%26f%3Dsld%26c%3Dtrue%26os%3D66512%26oe%3D66518" xr:uid="{B18458B7-49F8-4D74-B5C3-3DC8342053C3}"/>
    <hyperlink ref="D125" r:id="rId321" display="fdsup://factset/Doc Viewer Single?float_window=true&amp;positioning_strategy=center_on_screen&amp;_doc_docfn=U2FsdGVkX19NDWCwWfqUZ+aEv1LmdGuXubosGAp6miKqPsRT07zWFZMTbQQ/ta1ACK+ylNuz8CunoyimoTOPMrdYYZyzTT56D0W1IZ9p0dE=&amp;_app_id=central_doc_viewer&amp;center_on_screen=true&amp;width=950&amp;height=800&amp;_dd2=%26f%3Dsld%26c%3Dtrue%26os%3D65521%26oe%3D65527" xr:uid="{AFC2E2FD-17B1-44A9-A21F-4CD4418E9ED2}"/>
    <hyperlink ref="D124" r:id="rId322" display="fdsup://factset/Doc Viewer Single?float_window=true&amp;positioning_strategy=center_on_screen&amp;_doc_docfn=U2FsdGVkX19eALcruYeszbM7kXIOuXmGB8Vrm3PmzKHwgfJY3it9hG8CL7y0B/+uF4muHCY4yywxp9CrNpq5gMNjmPpbiTc59b+8wyOfNFo=&amp;_app_id=central_doc_viewer&amp;center_on_screen=true&amp;width=950&amp;height=800&amp;_dd2=%26f%3Dsld%26c%3Dtrue%26os%3D64981%26oe%3D64986" xr:uid="{A0D305A0-AF70-4552-8CCE-AE4F1047FEB5}"/>
    <hyperlink ref="D123" r:id="rId323" display="fdsup://factset/Doc Viewer Single?float_window=true&amp;positioning_strategy=center_on_screen&amp;_doc_docfn=U2FsdGVkX1+ZqfTPGpEU/Ar+xHcGwSM0W2yUK+3t8CIJRHy+UjaimoNOl8C10fx5M5Q9d7XnNohg1RIA4yGs++qqTjxvto9RlJCOeOngoLk=&amp;_app_id=central_doc_viewer&amp;center_on_screen=true&amp;width=950&amp;height=800&amp;_dd2=%26f%3Dsld%26c%3Dtrue%26os%3D64490%26oe%3D64496" xr:uid="{85036AA8-C56A-4923-94EE-45E187414419}"/>
    <hyperlink ref="D122" r:id="rId324" display="fdsup://factset/Doc Viewer Single?float_window=true&amp;positioning_strategy=center_on_screen&amp;_doc_docfn=U2FsdGVkX18x1kKwoJ1FSpa5dnTgSuF1ybAGOo8OIq1R/y5cmLUZbaaTE/UKuAVRC0uhL6rjpo8of/k16NePODMRJ1RBK9ObOrj1ir8JvJM=&amp;_app_id=central_doc_viewer&amp;center_on_screen=true&amp;width=950&amp;height=800&amp;_dd2=%26f%3Dsld%26c%3Dtrue%26os%3D64011%26oe%3D64017" xr:uid="{37C0574D-C7CD-4FDE-B492-7E185DF2D8EC}"/>
    <hyperlink ref="D121" r:id="rId325" display="fdsup://factset/Doc Viewer Single?float_window=true&amp;positioning_strategy=center_on_screen&amp;_doc_docfn=U2FsdGVkX18zV3M7K1u30ujnE5GYtNxTZluhryu7evI0qdgEsK5HOw4563Qu5Bjz2Fpogr3iCJLr6g+xp10qlltSV0X2jRr2orj9Nk7iITQ=&amp;_app_id=central_doc_viewer&amp;center_on_screen=true&amp;width=950&amp;height=800&amp;_dd2=%26f%3Dsld%26c%3Dtrue%26os%3D63547%26oe%3D63553" xr:uid="{779E7D8D-4DE8-43E4-A2B9-9F15EF26BB48}"/>
    <hyperlink ref="D120" r:id="rId326" display="fdsup://factset/Doc Viewer Single?float_window=true&amp;positioning_strategy=center_on_screen&amp;_doc_docfn=U2FsdGVkX18uCBAqa767mfDeEd4wbmN+vsE+SSGsxzqPU1Ie+aVTRxIXoofMQVY6WJkCbP1thaIXhnxEyLzjsfZNNg8HsthUuv1DUnBjqF4=&amp;_app_id=central_doc_viewer&amp;center_on_screen=true&amp;width=950&amp;height=800&amp;_dd2=%26f%3Dsld%26c%3Dtrue%26os%3D66007%26oe%3D66014" xr:uid="{4EBA76A0-6E1C-4349-BCC7-38BD3FB566DB}"/>
    <hyperlink ref="D119" r:id="rId327" display="fdsup://factset/Doc Viewer Single?float_window=true&amp;positioning_strategy=center_on_screen&amp;_doc_docfn=U2FsdGVkX1+0sXh3VhuJiydlB8dyoNZ4PEYaY/7ZpNpGvfJGUJkvicWVEN7zl9q5SUXjTuJ9DuAP0+YyVCdb9kdOarEHClXnsyd0bEZp6Xs=&amp;_app_id=central_doc_viewer&amp;center_on_screen=true&amp;width=950&amp;height=800&amp;_dd2=%26f%3Dsld%26c%3Dtrue%26os%3D68515%26oe%3D68524" xr:uid="{8F399B84-D916-48ED-9EC0-40416E2FEB1F}"/>
    <hyperlink ref="D118" r:id="rId328" display="fdsup://factset/Doc Viewer Single?float_window=true&amp;positioning_strategy=center_on_screen&amp;_doc_docfn=U2FsdGVkX1/+MJ7UE/8fcz/TYdu9bdDLp4cX8VBsbfoHMoPH+MvYbfLEMuCKp77NGNKmveizHFplvLWiXcXnYju+2EnQwhyOCCm/uQfUXHM=&amp;_app_id=central_doc_viewer&amp;center_on_screen=true&amp;width=950&amp;height=800&amp;_dd2=%26f%3Dsld%26c%3Dtrue%26os%3D71753%26oe%3D71762" xr:uid="{B4692826-E2C8-4F9E-88C2-5FDEF043A6D3}"/>
    <hyperlink ref="D115" r:id="rId329" display="fdsup://factset/Doc Viewer Single?float_window=true&amp;positioning_strategy=center_on_screen&amp;_doc_docfn=U2FsdGVkX1+MCPXrZ4JwOvhLh9KX8bUEIB0xdg51gCZYICvb9fzvbW6XgOZJgxpZfOHKNVmm9TZ3Ffngji+A1UKJ7wxsHeCyIjAbZN74wsA=&amp;_app_id=central_doc_viewer&amp;center_on_screen=true&amp;width=950&amp;height=800&amp;_dd2=%26f%3Dsld%26c%3Dtrue%26os%3D62355%26oe%3D62360" xr:uid="{22E5175E-C535-4704-8ABB-9650CBDF3B33}"/>
    <hyperlink ref="D114" r:id="rId330" display="fdsup://factset/Doc Viewer Single?float_window=true&amp;positioning_strategy=center_on_screen&amp;_doc_docfn=U2FsdGVkX1+zSS7snxYa+DpRMObo7/MMPsyCEAG0h+HTEHdtDz+YCor64VE7NxTJr69VBfXJCYQyAyxW4vpnSHZGCSVVuysqU+NbDwNko+Y=&amp;_app_id=central_doc_viewer&amp;center_on_screen=true&amp;width=950&amp;height=800&amp;_dd2=%26f%3Dsld%26c%3Dtrue%26os%3D61882%26oe%3D61889" xr:uid="{7D1124D7-FDC9-4CE9-AE24-8A7989599353}"/>
    <hyperlink ref="D113" r:id="rId331" display="fdsup://factset/Doc Viewer Single?float_window=true&amp;positioning_strategy=center_on_screen&amp;_doc_docfn=U2FsdGVkX18MkRAOo8foX5ClkDwLkWg37p2+T0InajdL/B86aIZUSwiF9xNNBhxZvDH98bJ5GMGxG2DSXyxqdnL/Evl7Nigtgxkx8yVX3VA=&amp;_app_id=central_doc_viewer&amp;center_on_screen=true&amp;width=950&amp;height=800&amp;_dd2=%26f%3Dsld%26c%3Dtrue%26os%3D61363%26oe%3D61370" xr:uid="{22B8C4EC-83AF-4E66-A72B-6FE2C6A147FE}"/>
    <hyperlink ref="D112" r:id="rId332" display="fdsup://factset/Doc Viewer Single?float_window=true&amp;positioning_strategy=center_on_screen&amp;_doc_docfn=U2FsdGVkX19+n6GYegiZAe5S3FcsXYIXCMm3RbW9UV5hFF58x+fcT1q/S5DounnRbWCfWcOlmjWbbPhiqMOgZRd/Ob4uyZmszBOkbCsaWuU=&amp;_app_id=central_doc_viewer&amp;center_on_screen=true&amp;width=950&amp;height=800&amp;_dd2=%26f%3Dsld%26c%3Dtrue%26os%3D60914%26oe%3D60921" xr:uid="{C4E33E3D-FA17-4C9E-ACA6-5FB459AD09C5}"/>
    <hyperlink ref="D111" r:id="rId333" display="fdsup://factset/Doc Viewer Single?float_window=true&amp;positioning_strategy=center_on_screen&amp;_doc_docfn=U2FsdGVkX1+IhUr84e2mgwvR+p36FYvJfKj7hJ5LzsC2friabAl4m9n7jLTyj6LuDF2MqrY9UG0M2/RGeCrBxqY/eDCwVYbJoeyrz7m3RdA=&amp;_app_id=central_doc_viewer&amp;center_on_screen=true&amp;width=950&amp;height=800&amp;_dd2=%26f%3Dsld%26c%3Dtrue%26os%3D59928%26oe%3D59934" xr:uid="{76832F8E-2FD9-4E3A-A932-EF841D4B8134}"/>
    <hyperlink ref="D110" r:id="rId334" display="fdsup://factset/Doc Viewer Single?float_window=true&amp;positioning_strategy=center_on_screen&amp;_doc_docfn=U2FsdGVkX1+NZ2XThAqEOB8I9ZohJFexP9crbQGJIctgBXs4X5y5II4bUkg0Fr11Kbg3XGohsl07j6d5mqxqu6SoYkKhXcU5E5a5OMcumG4=&amp;_app_id=central_doc_viewer&amp;center_on_screen=true&amp;width=950&amp;height=800&amp;_dd2=%26f%3Dsld%26c%3Dtrue%26os%3D59457%26oe%3D59462" xr:uid="{BB6624B8-1E48-436C-A5BA-73908012F8E1}"/>
    <hyperlink ref="D108" r:id="rId335" display="fdsup://factset/Doc Viewer Single?float_window=true&amp;positioning_strategy=center_on_screen&amp;_doc_docfn=U2FsdGVkX1/zbZxnZVQhW6zWVROLSyrQQHKUBCFJ4Azoz50+oW6y4ljPODv0NuueW3TkjCBFAH4AlcqB3bEOhelUCFDvDmF/opreyK3ReHQ=&amp;_app_id=central_doc_viewer&amp;center_on_screen=true&amp;width=950&amp;height=800&amp;_dd2=%26f%3Dsld%26c%3Dtrue%26os%3D58980%26oe%3D58987" xr:uid="{043FABE1-0224-4F07-98A5-9944F1C4E507}"/>
    <hyperlink ref="D107" r:id="rId336" display="fdsup://factset/Doc Viewer Single?float_window=true&amp;positioning_strategy=center_on_screen&amp;_doc_docfn=U2FsdGVkX1+SbHFzxsfRetc2JxhtfhccuTqZcMivmWBP4goY50hSaeYWupCFEFbYrhHcjfXyuQzfzU6OKAGyF56Is9BOp8Em/AYNlRM9OQg=&amp;_app_id=central_doc_viewer&amp;center_on_screen=true&amp;width=950&amp;height=800&amp;_dd2=%26f%3Dsld%26c%3Dtrue%26os%3D58521%26oe%3D58527" xr:uid="{BD63C91D-81A0-4EF5-9734-B295A71C4647}"/>
    <hyperlink ref="D106" r:id="rId337" display="fdsup://factset/Doc Viewer Single?float_window=true&amp;positioning_strategy=center_on_screen&amp;_doc_docfn=U2FsdGVkX1+OtWLRCmJh+V7vTbeDJjI0sYRIqAu0Ujma3oAQljIe/gvROVl0t1LiHMdoPGMI3/PYtXApRioxOISvug0++pwSTj/9MoxCQwk=&amp;_app_id=central_doc_viewer&amp;center_on_screen=true&amp;width=950&amp;height=800&amp;_dd2=%26f%3Dsld%26c%3Dtrue%26os%3D58007%26oe%3D58014" xr:uid="{CF2AE133-B8B2-4771-AAE9-3A9ED8AC7DB0}"/>
    <hyperlink ref="D105" r:id="rId338" display="fdsup://factset/Doc Viewer Single?float_window=true&amp;positioning_strategy=center_on_screen&amp;_doc_docfn=U2FsdGVkX1/UgTQgIBd7URNry12G41HTlTHLXh1WnOvOf+stlDZOM4CBx7l6C7MlCVIbVaGu70JV2sujEdo0Dc1XzRWaQeznf/WgTBXWq00=&amp;_app_id=central_doc_viewer&amp;center_on_screen=true&amp;width=950&amp;height=800&amp;_dd2=%26f%3Dsld%26c%3Dtrue%26os%3D60399%26oe%3D60406" xr:uid="{2AFBBEF9-5D37-49CF-B75D-1200C2C792EF}"/>
    <hyperlink ref="D104" r:id="rId339" display="fdsup://factset/Doc Viewer Single?float_window=true&amp;positioning_strategy=center_on_screen&amp;_doc_docfn=U2FsdGVkX1+U2/l+6rhCgPME8s3fkg9dPUwAAZ0LrVDcRJK5pm8fs2Dzzfxd+D0ZeUktQnZdyjDKkWFD1AcPpBNPh9+m0ksfxXnMh3LiMpI=&amp;_app_id=central_doc_viewer&amp;center_on_screen=true&amp;width=950&amp;height=800&amp;_dd2=%26f%3Dsld%26c%3Dtrue%26os%3D62807%26oe%3D62816" xr:uid="{D2319B7E-03AD-47E2-9939-BCFCACCB4137}"/>
  </hyperlinks>
  <pageMargins left="0.75" right="0.75" top="1" bottom="1" header="0.5" footer="0.5"/>
  <ignoredErrors>
    <ignoredError sqref="K4 E153 G153:S153 T153:V153 Z238" formulaRange="1"/>
    <ignoredError sqref="F11 P10 K5 U10 K10 U4:U5 R87 I78:J78 G87 Z4:Z6 Z46:Z48 Z31 Z35 Z41 Z83 Z87 Z91 Z95 Z208 Z214 K226 P226 U226 AB235 V35 U149 U164:U165 P164:P165 P5:P6 Z217" formula="1"/>
    <ignoredError sqref="K6" formula="1" formulaRange="1"/>
  </ignoredErrors>
  <drawing r:id="rId34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F16E-9969-4879-9463-C598E1A56F49}">
  <dimension ref="A1"/>
  <sheetViews>
    <sheetView workbookViewId="0">
      <selection activeCell="I38" sqref="I38"/>
    </sheetView>
  </sheetViews>
  <sheetFormatPr defaultRowHeight="12.5"/>
  <sheetData/>
  <phoneticPr fontId="8" type="noConversion"/>
  <pageMargins left="0.7" right="0.7" top="0.75" bottom="0.75" header="0.3" footer="0.3"/>
  <pageSetup paperSize="9" orientation="portrait" r:id="rId1"/>
  <drawing r:id="rId2"/>
  <legacyDrawing r:id="rId3"/>
  <oleObjects>
    <mc:AlternateContent xmlns:mc="http://schemas.openxmlformats.org/markup-compatibility/2006">
      <mc:Choice Requires="x14">
        <oleObject progId="FDSCHART.FDSChartCtrl.1" shapeId="6146" r:id="rId4">
          <objectPr defaultSize="0" autoPict="0" r:id="rId5">
            <anchor moveWithCells="1">
              <from>
                <xdr:col>0</xdr:col>
                <xdr:colOff>0</xdr:colOff>
                <xdr:row>0</xdr:row>
                <xdr:rowOff>0</xdr:rowOff>
              </from>
              <to>
                <xdr:col>14</xdr:col>
                <xdr:colOff>146050</xdr:colOff>
                <xdr:row>17</xdr:row>
                <xdr:rowOff>19050</xdr:rowOff>
              </to>
            </anchor>
          </objectPr>
        </oleObject>
      </mc:Choice>
      <mc:Fallback>
        <oleObject progId="FDSCHART.FDSChartCtrl.1" shapeId="6146" r:id="rId4"/>
      </mc:Fallback>
    </mc:AlternateContent>
    <mc:AlternateContent xmlns:mc="http://schemas.openxmlformats.org/markup-compatibility/2006">
      <mc:Choice Requires="x14">
        <oleObject progId="FDSCHART.FDSChartCtrl.1" shapeId="6147" r:id="rId6">
          <objectPr defaultSize="0" autoPict="0" r:id="rId7">
            <anchor moveWithCells="1">
              <from>
                <xdr:col>0</xdr:col>
                <xdr:colOff>0</xdr:colOff>
                <xdr:row>17</xdr:row>
                <xdr:rowOff>19050</xdr:rowOff>
              </from>
              <to>
                <xdr:col>14</xdr:col>
                <xdr:colOff>146050</xdr:colOff>
                <xdr:row>34</xdr:row>
                <xdr:rowOff>0</xdr:rowOff>
              </to>
            </anchor>
          </objectPr>
        </oleObject>
      </mc:Choice>
      <mc:Fallback>
        <oleObject progId="FDSCHART.FDSChartCtrl.1" shapeId="6147"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FA07B-1497-4CAB-B138-C3BBB08DF860}">
  <dimension ref="A1:N22"/>
  <sheetViews>
    <sheetView topLeftCell="A8" zoomScale="70" zoomScaleNormal="70" workbookViewId="0">
      <selection activeCell="P14" sqref="P14"/>
    </sheetView>
  </sheetViews>
  <sheetFormatPr defaultRowHeight="12.5"/>
  <cols>
    <col min="1" max="1" width="84.90625" bestFit="1" customWidth="1"/>
  </cols>
  <sheetData>
    <row r="1" spans="1:14" ht="20">
      <c r="A1" s="336" t="s">
        <v>244</v>
      </c>
      <c r="B1" s="336"/>
      <c r="C1" s="336"/>
      <c r="D1" s="336"/>
      <c r="E1" s="336"/>
      <c r="F1" s="336"/>
      <c r="G1" s="336"/>
      <c r="H1" s="336"/>
      <c r="I1" s="336"/>
      <c r="J1" s="336"/>
      <c r="K1" s="336"/>
      <c r="L1" s="336"/>
      <c r="M1" s="336"/>
      <c r="N1" s="336"/>
    </row>
    <row r="2" spans="1:14" ht="20">
      <c r="A2" s="336" t="s">
        <v>245</v>
      </c>
      <c r="B2" s="336"/>
      <c r="C2" s="336"/>
      <c r="D2" s="336"/>
      <c r="E2" s="336"/>
      <c r="F2" s="336"/>
      <c r="G2" s="336"/>
      <c r="H2" s="336"/>
      <c r="I2" s="336"/>
      <c r="J2" s="336"/>
      <c r="K2" s="336"/>
      <c r="L2" s="336"/>
      <c r="M2" s="336"/>
      <c r="N2" s="336"/>
    </row>
    <row r="3" spans="1:14" ht="18" thickBot="1">
      <c r="A3" s="337" t="s">
        <v>246</v>
      </c>
      <c r="B3" s="337"/>
      <c r="C3" s="337"/>
      <c r="D3" s="337"/>
      <c r="E3" s="337"/>
      <c r="F3" s="337"/>
      <c r="G3" s="337"/>
      <c r="H3" s="337"/>
      <c r="I3" s="337"/>
      <c r="J3" s="337"/>
      <c r="K3" s="337"/>
      <c r="L3" s="337"/>
      <c r="M3" s="337"/>
      <c r="N3" s="337"/>
    </row>
    <row r="4" spans="1:14" ht="17.5">
      <c r="A4" s="338"/>
      <c r="B4" s="220">
        <v>2021</v>
      </c>
      <c r="C4" s="340">
        <v>2022</v>
      </c>
      <c r="D4" s="341"/>
      <c r="E4" s="341"/>
      <c r="F4" s="342"/>
      <c r="G4" s="340">
        <v>2023</v>
      </c>
      <c r="H4" s="341"/>
      <c r="I4" s="341"/>
      <c r="J4" s="342"/>
      <c r="K4" s="340">
        <v>2024</v>
      </c>
      <c r="L4" s="341"/>
      <c r="M4" s="341"/>
      <c r="N4" s="342"/>
    </row>
    <row r="5" spans="1:14" ht="35.5" thickBot="1">
      <c r="A5" s="339"/>
      <c r="B5" s="221" t="s">
        <v>399</v>
      </c>
      <c r="C5" s="222" t="s">
        <v>400</v>
      </c>
      <c r="D5" s="223" t="s">
        <v>401</v>
      </c>
      <c r="E5" s="224" t="s">
        <v>402</v>
      </c>
      <c r="F5" s="225" t="s">
        <v>403</v>
      </c>
      <c r="G5" s="222" t="s">
        <v>404</v>
      </c>
      <c r="H5" s="223" t="s">
        <v>405</v>
      </c>
      <c r="I5" s="224" t="s">
        <v>406</v>
      </c>
      <c r="J5" s="225" t="s">
        <v>407</v>
      </c>
      <c r="K5" s="222" t="s">
        <v>408</v>
      </c>
      <c r="L5" s="223" t="s">
        <v>409</v>
      </c>
      <c r="M5" s="224" t="s">
        <v>410</v>
      </c>
      <c r="N5" s="225" t="s">
        <v>411</v>
      </c>
    </row>
    <row r="6" spans="1:14" ht="18" thickBot="1">
      <c r="A6" s="226"/>
      <c r="B6" s="227">
        <v>86.897426131531049</v>
      </c>
      <c r="C6" s="228">
        <v>82.726857303090981</v>
      </c>
      <c r="D6" s="229">
        <v>76.511402990612709</v>
      </c>
      <c r="E6" s="230">
        <v>76.783659006367628</v>
      </c>
      <c r="F6" s="231">
        <v>69.465707981833361</v>
      </c>
      <c r="G6" s="232">
        <v>69.691772163157268</v>
      </c>
      <c r="H6" s="229">
        <v>68.380437657847352</v>
      </c>
      <c r="I6" s="229">
        <v>64.787086048701454</v>
      </c>
      <c r="J6" s="233">
        <v>66.606171372780949</v>
      </c>
      <c r="K6" s="228">
        <v>66.064618189512302</v>
      </c>
      <c r="L6" s="234">
        <v>65.403575787509013</v>
      </c>
      <c r="M6" s="229">
        <v>63.254946273590193</v>
      </c>
      <c r="N6" s="233">
        <v>67.857363039665415</v>
      </c>
    </row>
    <row r="7" spans="1:14" ht="18" thickBot="1">
      <c r="A7" s="219"/>
      <c r="B7" s="235"/>
      <c r="C7" s="235"/>
      <c r="D7" s="236"/>
      <c r="E7" s="235"/>
      <c r="F7" s="235"/>
      <c r="G7" s="237"/>
      <c r="H7" s="235"/>
      <c r="I7" s="235"/>
      <c r="J7" s="235"/>
      <c r="K7" s="235"/>
      <c r="L7" s="235"/>
      <c r="M7" s="235"/>
      <c r="N7" s="238"/>
    </row>
    <row r="8" spans="1:14" ht="50" customHeight="1">
      <c r="A8" s="239" t="s">
        <v>247</v>
      </c>
      <c r="B8" s="290">
        <v>90.727059165159588</v>
      </c>
      <c r="C8" s="291">
        <v>86.972526921465132</v>
      </c>
      <c r="D8" s="292">
        <v>82.695913648066792</v>
      </c>
      <c r="E8" s="293">
        <v>82.702454427171674</v>
      </c>
      <c r="F8" s="290">
        <v>76.868600734232629</v>
      </c>
      <c r="G8" s="294">
        <v>75.336577612214001</v>
      </c>
      <c r="H8" s="292">
        <v>76.724586112334947</v>
      </c>
      <c r="I8" s="292">
        <v>72.110782685191623</v>
      </c>
      <c r="J8" s="295">
        <v>74.248140486980788</v>
      </c>
      <c r="K8" s="291">
        <v>73.593749964136961</v>
      </c>
      <c r="L8" s="296">
        <v>73.033051548611965</v>
      </c>
      <c r="M8" s="292">
        <v>71.551523243809129</v>
      </c>
      <c r="N8" s="295">
        <v>74.832298807586682</v>
      </c>
    </row>
    <row r="9" spans="1:14" ht="50" customHeight="1">
      <c r="A9" s="240" t="s">
        <v>248</v>
      </c>
      <c r="B9" s="256">
        <v>88.046405634969958</v>
      </c>
      <c r="C9" s="257">
        <v>86.396017484215633</v>
      </c>
      <c r="D9" s="258">
        <v>77.623365129314578</v>
      </c>
      <c r="E9" s="259">
        <v>80.668892936652497</v>
      </c>
      <c r="F9" s="256">
        <v>73.695255852496373</v>
      </c>
      <c r="G9" s="260">
        <v>70.848081593006313</v>
      </c>
      <c r="H9" s="261">
        <v>71.65337949458177</v>
      </c>
      <c r="I9" s="261">
        <v>66.918672594681752</v>
      </c>
      <c r="J9" s="262">
        <v>70.308315380561211</v>
      </c>
      <c r="K9" s="257">
        <v>70.059982480364695</v>
      </c>
      <c r="L9" s="263">
        <v>69.760375250901959</v>
      </c>
      <c r="M9" s="261">
        <v>66.882388911536893</v>
      </c>
      <c r="N9" s="262">
        <v>74.674149167270087</v>
      </c>
    </row>
    <row r="10" spans="1:14" ht="50" customHeight="1">
      <c r="A10" s="240" t="s">
        <v>249</v>
      </c>
      <c r="B10" s="256">
        <v>91.060572353119639</v>
      </c>
      <c r="C10" s="257">
        <v>87.018300399104447</v>
      </c>
      <c r="D10" s="258">
        <v>84.417499243112317</v>
      </c>
      <c r="E10" s="259">
        <v>83.283613656964434</v>
      </c>
      <c r="F10" s="256">
        <v>77.542319749216304</v>
      </c>
      <c r="G10" s="260">
        <v>77.721113598754002</v>
      </c>
      <c r="H10" s="261">
        <v>77.353664540209309</v>
      </c>
      <c r="I10" s="261">
        <v>73.171451003784355</v>
      </c>
      <c r="J10" s="262">
        <v>74.895511298407015</v>
      </c>
      <c r="K10" s="257">
        <v>73.739562037856402</v>
      </c>
      <c r="L10" s="263">
        <v>74.074343374118186</v>
      </c>
      <c r="M10" s="261">
        <v>71.019854517474158</v>
      </c>
      <c r="N10" s="262">
        <v>73.490895222703372</v>
      </c>
    </row>
    <row r="11" spans="1:14" ht="50" customHeight="1" thickBot="1">
      <c r="A11" s="241" t="s">
        <v>250</v>
      </c>
      <c r="B11" s="264">
        <v>93.074199507389167</v>
      </c>
      <c r="C11" s="265">
        <v>87.503262881075301</v>
      </c>
      <c r="D11" s="297">
        <v>86.046876571773453</v>
      </c>
      <c r="E11" s="267">
        <v>84.154856687898089</v>
      </c>
      <c r="F11" s="264">
        <v>79.368226600985224</v>
      </c>
      <c r="G11" s="268">
        <v>77.440537644881672</v>
      </c>
      <c r="H11" s="269">
        <v>81.166714302213762</v>
      </c>
      <c r="I11" s="269">
        <v>76.242224457108762</v>
      </c>
      <c r="J11" s="270">
        <v>77.54059478197415</v>
      </c>
      <c r="K11" s="265">
        <v>76.981705374189787</v>
      </c>
      <c r="L11" s="271">
        <v>75.264436020815708</v>
      </c>
      <c r="M11" s="269">
        <v>76.752326302416321</v>
      </c>
      <c r="N11" s="270">
        <v>76.331852032786585</v>
      </c>
    </row>
    <row r="12" spans="1:14" ht="18" thickBot="1">
      <c r="A12" s="219"/>
      <c r="B12" s="235"/>
      <c r="C12" s="235"/>
      <c r="D12" s="236"/>
      <c r="E12" s="235"/>
      <c r="F12" s="235"/>
      <c r="G12" s="237"/>
      <c r="H12" s="235"/>
      <c r="I12" s="235"/>
      <c r="J12" s="235"/>
      <c r="K12" s="235"/>
      <c r="L12" s="235"/>
      <c r="M12" s="235"/>
      <c r="N12" s="238"/>
    </row>
    <row r="13" spans="1:14" ht="50" customHeight="1">
      <c r="A13" s="242" t="s">
        <v>251</v>
      </c>
      <c r="B13" s="248">
        <v>83.067793097902509</v>
      </c>
      <c r="C13" s="249">
        <v>78.481187684716843</v>
      </c>
      <c r="D13" s="250">
        <v>70.326892333158639</v>
      </c>
      <c r="E13" s="251">
        <v>70.864863585563583</v>
      </c>
      <c r="F13" s="248">
        <v>62.062815229434094</v>
      </c>
      <c r="G13" s="252">
        <v>64.046966714100535</v>
      </c>
      <c r="H13" s="253">
        <v>60.036289203359757</v>
      </c>
      <c r="I13" s="253">
        <v>57.463389412211285</v>
      </c>
      <c r="J13" s="254">
        <v>58.964202258581111</v>
      </c>
      <c r="K13" s="249">
        <v>58.535486414887643</v>
      </c>
      <c r="L13" s="255">
        <v>57.774100026406053</v>
      </c>
      <c r="M13" s="253">
        <v>54.958369303371256</v>
      </c>
      <c r="N13" s="254">
        <v>60.882427271744135</v>
      </c>
    </row>
    <row r="14" spans="1:14" ht="50" customHeight="1">
      <c r="A14" s="240" t="s">
        <v>252</v>
      </c>
      <c r="B14" s="256">
        <v>81.39489259096888</v>
      </c>
      <c r="C14" s="257">
        <v>74.203407091935929</v>
      </c>
      <c r="D14" s="258">
        <v>67.090746446675283</v>
      </c>
      <c r="E14" s="259">
        <v>65.433493109646491</v>
      </c>
      <c r="F14" s="256">
        <v>56.926457693993868</v>
      </c>
      <c r="G14" s="260">
        <v>58.917137302101658</v>
      </c>
      <c r="H14" s="261">
        <v>58.999707694394296</v>
      </c>
      <c r="I14" s="261">
        <v>56.304152909331229</v>
      </c>
      <c r="J14" s="262">
        <v>56.198498689260852</v>
      </c>
      <c r="K14" s="257">
        <v>56.568804835422199</v>
      </c>
      <c r="L14" s="263">
        <v>55.391936297568897</v>
      </c>
      <c r="M14" s="261">
        <v>53.392652643661442</v>
      </c>
      <c r="N14" s="262">
        <v>62.491584351554863</v>
      </c>
    </row>
    <row r="15" spans="1:14" ht="50" customHeight="1" thickBot="1">
      <c r="A15" s="243" t="s">
        <v>253</v>
      </c>
      <c r="B15" s="264">
        <v>84.740693604836139</v>
      </c>
      <c r="C15" s="265">
        <v>82.758968277497772</v>
      </c>
      <c r="D15" s="266">
        <v>73.56303821964201</v>
      </c>
      <c r="E15" s="267">
        <v>76.296234061480675</v>
      </c>
      <c r="F15" s="264">
        <v>67.199172764874319</v>
      </c>
      <c r="G15" s="268">
        <v>69.176796126099418</v>
      </c>
      <c r="H15" s="269">
        <v>61.072870712325212</v>
      </c>
      <c r="I15" s="269">
        <v>58.622625915091334</v>
      </c>
      <c r="J15" s="270">
        <v>61.729905827901362</v>
      </c>
      <c r="K15" s="265">
        <v>60.502167994353094</v>
      </c>
      <c r="L15" s="271">
        <v>60.156263755243209</v>
      </c>
      <c r="M15" s="269">
        <v>56.52408596308107</v>
      </c>
      <c r="N15" s="270">
        <v>59.273270191933413</v>
      </c>
    </row>
    <row r="16" spans="1:14" ht="18" thickBot="1">
      <c r="A16" s="244"/>
      <c r="B16" s="237"/>
      <c r="C16" s="237"/>
      <c r="D16" s="237"/>
      <c r="E16" s="237"/>
      <c r="F16" s="237"/>
      <c r="G16" s="237"/>
      <c r="H16" s="237"/>
      <c r="I16" s="237"/>
      <c r="J16" s="237"/>
      <c r="K16" s="237"/>
      <c r="L16" s="237"/>
      <c r="M16" s="237"/>
      <c r="N16" s="245"/>
    </row>
    <row r="17" spans="1:14">
      <c r="A17" s="334" t="s">
        <v>254</v>
      </c>
      <c r="B17" s="334"/>
      <c r="C17" s="334"/>
      <c r="D17" s="334"/>
      <c r="E17" s="334"/>
      <c r="F17" s="334"/>
      <c r="G17" s="334"/>
      <c r="H17" s="334"/>
      <c r="I17" s="334"/>
      <c r="J17" s="334"/>
      <c r="K17" s="334"/>
      <c r="L17" s="334"/>
      <c r="M17" s="334"/>
      <c r="N17" s="334"/>
    </row>
    <row r="18" spans="1:14">
      <c r="A18" s="334"/>
      <c r="B18" s="334"/>
      <c r="C18" s="334"/>
      <c r="D18" s="334"/>
      <c r="E18" s="334"/>
      <c r="F18" s="334"/>
      <c r="G18" s="334"/>
      <c r="H18" s="334"/>
      <c r="I18" s="334"/>
      <c r="J18" s="334"/>
      <c r="K18" s="334"/>
      <c r="L18" s="334"/>
      <c r="M18" s="334"/>
      <c r="N18" s="334"/>
    </row>
    <row r="19" spans="1:14">
      <c r="A19" s="335" t="s">
        <v>255</v>
      </c>
      <c r="B19" s="335"/>
      <c r="C19" s="335"/>
      <c r="D19" s="335"/>
      <c r="E19" s="335"/>
      <c r="F19" s="335"/>
      <c r="G19" s="335"/>
      <c r="H19" s="335"/>
      <c r="I19" s="335"/>
      <c r="J19" s="335"/>
      <c r="K19" s="335"/>
      <c r="L19" s="335"/>
      <c r="M19" s="335"/>
      <c r="N19" s="335"/>
    </row>
    <row r="20" spans="1:14">
      <c r="A20" s="335"/>
      <c r="B20" s="335"/>
      <c r="C20" s="335"/>
      <c r="D20" s="335"/>
      <c r="E20" s="335"/>
      <c r="F20" s="335"/>
      <c r="G20" s="335"/>
      <c r="H20" s="335"/>
      <c r="I20" s="335"/>
      <c r="J20" s="335"/>
      <c r="K20" s="335"/>
      <c r="L20" s="335"/>
      <c r="M20" s="335"/>
      <c r="N20" s="335"/>
    </row>
    <row r="21" spans="1:14" ht="17.5">
      <c r="A21" s="246" t="s">
        <v>256</v>
      </c>
      <c r="B21" s="247"/>
      <c r="C21" s="247"/>
      <c r="D21" s="247"/>
      <c r="E21" s="247"/>
      <c r="F21" s="247"/>
      <c r="G21" s="247"/>
      <c r="H21" s="247"/>
      <c r="I21" s="247"/>
      <c r="J21" s="247"/>
      <c r="K21" s="247"/>
      <c r="L21" s="247"/>
      <c r="M21" s="247"/>
      <c r="N21" s="247"/>
    </row>
    <row r="22" spans="1:14" ht="17.5">
      <c r="A22" s="246" t="s">
        <v>257</v>
      </c>
      <c r="B22" s="247"/>
      <c r="C22" s="247"/>
      <c r="D22" s="247"/>
      <c r="E22" s="247"/>
      <c r="F22" s="247"/>
      <c r="G22" s="247"/>
      <c r="H22" s="247"/>
      <c r="I22" s="247"/>
      <c r="J22" s="247"/>
      <c r="K22" s="247"/>
      <c r="L22" s="247"/>
      <c r="M22" s="247"/>
      <c r="N22" s="247"/>
    </row>
  </sheetData>
  <mergeCells count="9">
    <mergeCell ref="A17:N18"/>
    <mergeCell ref="A19:N20"/>
    <mergeCell ref="A1:N1"/>
    <mergeCell ref="A2:N2"/>
    <mergeCell ref="A3:N3"/>
    <mergeCell ref="A4:A5"/>
    <mergeCell ref="C4:F4"/>
    <mergeCell ref="G4:J4"/>
    <mergeCell ref="K4:N4"/>
  </mergeCells>
  <phoneticPr fontId="8"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C8E8-5BEB-4792-95BF-F27702D06EEF}">
  <dimension ref="A1:D130"/>
  <sheetViews>
    <sheetView topLeftCell="A2" workbookViewId="0">
      <selection activeCell="H33" sqref="H33"/>
    </sheetView>
  </sheetViews>
  <sheetFormatPr defaultColWidth="9.1796875" defaultRowHeight="12.5"/>
  <cols>
    <col min="1" max="1" width="12.7265625" style="272" customWidth="1"/>
    <col min="2" max="2" width="16.7265625" style="288" customWidth="1"/>
    <col min="3" max="3" width="16.7265625" style="289" customWidth="1"/>
    <col min="4" max="16384" width="9.1796875" style="272"/>
  </cols>
  <sheetData>
    <row r="1" spans="1:3" ht="13.5" thickBot="1">
      <c r="A1" s="343" t="s">
        <v>258</v>
      </c>
      <c r="B1" s="344"/>
      <c r="C1" s="345"/>
    </row>
    <row r="2" spans="1:3" ht="39">
      <c r="A2" s="273" t="s">
        <v>259</v>
      </c>
      <c r="B2" s="274" t="s">
        <v>260</v>
      </c>
      <c r="C2" s="275" t="s">
        <v>261</v>
      </c>
    </row>
    <row r="3" spans="1:3">
      <c r="A3" s="276" t="s">
        <v>262</v>
      </c>
      <c r="B3" s="277">
        <v>116.04294244820355</v>
      </c>
      <c r="C3" s="278">
        <v>5.42909830182845E-2</v>
      </c>
    </row>
    <row r="4" spans="1:3">
      <c r="A4" s="276" t="s">
        <v>263</v>
      </c>
      <c r="B4" s="277">
        <v>117.77285402018944</v>
      </c>
      <c r="C4" s="278">
        <v>5.8843958216153736E-2</v>
      </c>
    </row>
    <row r="5" spans="1:3">
      <c r="A5" s="276" t="s">
        <v>264</v>
      </c>
      <c r="B5" s="277">
        <v>120.22108010015451</v>
      </c>
      <c r="C5" s="278">
        <v>6.5071462362825683E-2</v>
      </c>
    </row>
    <row r="6" spans="1:3">
      <c r="A6" s="276" t="s">
        <v>265</v>
      </c>
      <c r="B6" s="277">
        <v>122.80635385120139</v>
      </c>
      <c r="C6" s="278">
        <v>7.1414675124329197E-2</v>
      </c>
    </row>
    <row r="7" spans="1:3">
      <c r="A7" s="276" t="s">
        <v>266</v>
      </c>
      <c r="B7" s="277">
        <v>124.91633761525109</v>
      </c>
      <c r="C7" s="278">
        <v>7.6466478528052217E-2</v>
      </c>
    </row>
    <row r="8" spans="1:3">
      <c r="A8" s="276" t="s">
        <v>267</v>
      </c>
      <c r="B8" s="277">
        <v>125.75026215198983</v>
      </c>
      <c r="C8" s="278">
        <v>6.7735542270486615E-2</v>
      </c>
    </row>
    <row r="9" spans="1:3">
      <c r="A9" s="276" t="s">
        <v>268</v>
      </c>
      <c r="B9" s="277">
        <v>126.94984786561608</v>
      </c>
      <c r="C9" s="278">
        <v>5.596994936209132E-2</v>
      </c>
    </row>
    <row r="10" spans="1:3">
      <c r="A10" s="276" t="s">
        <v>269</v>
      </c>
      <c r="B10" s="277">
        <v>128.23002635407894</v>
      </c>
      <c r="C10" s="278">
        <v>4.4164429060805421E-2</v>
      </c>
    </row>
    <row r="11" spans="1:3">
      <c r="A11" s="276" t="s">
        <v>270</v>
      </c>
      <c r="B11" s="277">
        <v>129.26917334595626</v>
      </c>
      <c r="C11" s="278">
        <v>3.4846008246832705E-2</v>
      </c>
    </row>
    <row r="12" spans="1:3">
      <c r="A12" s="276" t="s">
        <v>271</v>
      </c>
      <c r="B12" s="277">
        <v>131.58086102554583</v>
      </c>
      <c r="C12" s="278">
        <v>4.6366494779221723E-2</v>
      </c>
    </row>
    <row r="13" spans="1:3">
      <c r="A13" s="276" t="s">
        <v>272</v>
      </c>
      <c r="B13" s="277">
        <v>134.85765851397508</v>
      </c>
      <c r="C13" s="278">
        <v>6.2290824142852808E-2</v>
      </c>
    </row>
    <row r="14" spans="1:3">
      <c r="A14" s="276" t="s">
        <v>273</v>
      </c>
      <c r="B14" s="277">
        <v>138.32150690610283</v>
      </c>
      <c r="C14" s="278">
        <v>7.8698264665083117E-2</v>
      </c>
    </row>
    <row r="15" spans="1:3">
      <c r="A15" s="276" t="s">
        <v>274</v>
      </c>
      <c r="B15" s="277">
        <v>141.14701431976346</v>
      </c>
      <c r="C15" s="278">
        <v>9.1884558911962344E-2</v>
      </c>
    </row>
    <row r="16" spans="1:3">
      <c r="A16" s="276" t="s">
        <v>275</v>
      </c>
      <c r="B16" s="277">
        <v>145.08875307911467</v>
      </c>
      <c r="C16" s="278">
        <v>0.10265848656322696</v>
      </c>
    </row>
    <row r="17" spans="1:3">
      <c r="A17" s="276" t="s">
        <v>276</v>
      </c>
      <c r="B17" s="277">
        <v>150.61634056669888</v>
      </c>
      <c r="C17" s="278">
        <v>0.11685418704708384</v>
      </c>
    </row>
    <row r="18" spans="1:3">
      <c r="A18" s="276" t="s">
        <v>277</v>
      </c>
      <c r="B18" s="277">
        <v>156.41807468758938</v>
      </c>
      <c r="C18" s="278">
        <v>0.13082974720461293</v>
      </c>
    </row>
    <row r="19" spans="1:3">
      <c r="A19" s="276" t="s">
        <v>278</v>
      </c>
      <c r="B19" s="277">
        <v>161.16808742656193</v>
      </c>
      <c r="C19" s="278">
        <v>0.14184553037332726</v>
      </c>
    </row>
    <row r="20" spans="1:3">
      <c r="A20" s="276" t="s">
        <v>279</v>
      </c>
      <c r="B20" s="277">
        <v>162.71575654392458</v>
      </c>
      <c r="C20" s="278">
        <v>0.1214911775773424</v>
      </c>
    </row>
    <row r="21" spans="1:3">
      <c r="A21" s="276" t="s">
        <v>280</v>
      </c>
      <c r="B21" s="277">
        <v>164.9119073811307</v>
      </c>
      <c r="C21" s="278">
        <v>9.4913783993451739E-2</v>
      </c>
    </row>
    <row r="22" spans="1:3">
      <c r="A22" s="276" t="s">
        <v>281</v>
      </c>
      <c r="B22" s="277">
        <v>167.23504391530361</v>
      </c>
      <c r="C22" s="278">
        <v>6.9154215389229945E-2</v>
      </c>
    </row>
    <row r="23" spans="1:3">
      <c r="A23" s="276" t="s">
        <v>282</v>
      </c>
      <c r="B23" s="277">
        <v>169.12937319539554</v>
      </c>
      <c r="C23" s="278">
        <v>4.9397407985382058E-2</v>
      </c>
    </row>
    <row r="24" spans="1:3">
      <c r="A24" s="276" t="s">
        <v>283</v>
      </c>
      <c r="B24" s="277">
        <v>168.26870239840648</v>
      </c>
      <c r="C24" s="278">
        <v>3.412666340633641E-2</v>
      </c>
    </row>
    <row r="25" spans="1:3">
      <c r="A25" s="276" t="s">
        <v>284</v>
      </c>
      <c r="B25" s="277">
        <v>167.09826498127612</v>
      </c>
      <c r="C25" s="278">
        <v>1.3257730353530395E-2</v>
      </c>
    </row>
    <row r="26" spans="1:3">
      <c r="A26" s="276" t="s">
        <v>285</v>
      </c>
      <c r="B26" s="277">
        <v>165.89531609687657</v>
      </c>
      <c r="C26" s="278">
        <v>-8.0110471290069096E-3</v>
      </c>
    </row>
    <row r="27" spans="1:3">
      <c r="A27" s="276" t="s">
        <v>286</v>
      </c>
      <c r="B27" s="277">
        <v>164.89958340776425</v>
      </c>
      <c r="C27" s="278">
        <v>-2.5009196851599524E-2</v>
      </c>
    </row>
    <row r="28" spans="1:3">
      <c r="A28" s="276" t="s">
        <v>287</v>
      </c>
      <c r="B28" s="277">
        <v>166.80946782755942</v>
      </c>
      <c r="C28" s="278">
        <v>-8.6720498229793108E-3</v>
      </c>
    </row>
    <row r="29" spans="1:3">
      <c r="A29" s="276" t="s">
        <v>288</v>
      </c>
      <c r="B29" s="277">
        <v>169.50189763857762</v>
      </c>
      <c r="C29" s="278">
        <v>1.438454586928728E-2</v>
      </c>
    </row>
    <row r="30" spans="1:3">
      <c r="A30" s="276" t="s">
        <v>289</v>
      </c>
      <c r="B30" s="277">
        <v>172.33776615895448</v>
      </c>
      <c r="C30" s="278">
        <v>3.8834430131323039E-2</v>
      </c>
    </row>
    <row r="31" spans="1:3">
      <c r="A31" s="276" t="s">
        <v>290</v>
      </c>
      <c r="B31" s="277">
        <v>174.65534823132342</v>
      </c>
      <c r="C31" s="278">
        <v>5.9161852455594577E-2</v>
      </c>
    </row>
    <row r="32" spans="1:3">
      <c r="A32" s="276" t="s">
        <v>291</v>
      </c>
      <c r="B32" s="277">
        <v>183.5806156701226</v>
      </c>
      <c r="C32" s="278">
        <v>0.10054074304643468</v>
      </c>
    </row>
    <row r="33" spans="1:3">
      <c r="A33" s="276" t="s">
        <v>292</v>
      </c>
      <c r="B33" s="277">
        <v>196.06844411613193</v>
      </c>
      <c r="C33" s="278">
        <v>0.15673303277230044</v>
      </c>
    </row>
    <row r="34" spans="1:3">
      <c r="A34" s="276" t="s">
        <v>293</v>
      </c>
      <c r="B34" s="277">
        <v>209.15583943877266</v>
      </c>
      <c r="C34" s="278">
        <v>0.21363903049468158</v>
      </c>
    </row>
    <row r="35" spans="1:3">
      <c r="A35" s="276" t="s">
        <v>294</v>
      </c>
      <c r="B35" s="277">
        <v>219.87919465752594</v>
      </c>
      <c r="C35" s="278">
        <v>0.25893193013651961</v>
      </c>
    </row>
    <row r="36" spans="1:3">
      <c r="A36" s="276" t="s">
        <v>295</v>
      </c>
      <c r="B36" s="277">
        <v>223.83120335163201</v>
      </c>
      <c r="C36" s="278">
        <v>0.21925292893578696</v>
      </c>
    </row>
    <row r="37" spans="1:3">
      <c r="A37" s="276" t="s">
        <v>296</v>
      </c>
      <c r="B37" s="277">
        <v>229.39020257628187</v>
      </c>
      <c r="C37" s="278">
        <v>0.16994962453220341</v>
      </c>
    </row>
    <row r="38" spans="1:3">
      <c r="A38" s="276" t="s">
        <v>297</v>
      </c>
      <c r="B38" s="277">
        <v>235.23680746208839</v>
      </c>
      <c r="C38" s="278">
        <v>0.12469634170051735</v>
      </c>
    </row>
    <row r="39" spans="1:3">
      <c r="A39" s="276" t="s">
        <v>298</v>
      </c>
      <c r="B39" s="277">
        <v>240.0185001735847</v>
      </c>
      <c r="C39" s="278">
        <v>9.1592592684482277E-2</v>
      </c>
    </row>
    <row r="40" spans="1:3">
      <c r="A40" s="276" t="s">
        <v>299</v>
      </c>
      <c r="B40" s="277">
        <v>247.28030733662538</v>
      </c>
      <c r="C40" s="278">
        <v>0.10476244435033277</v>
      </c>
    </row>
    <row r="41" spans="1:3">
      <c r="A41" s="276" t="s">
        <v>300</v>
      </c>
      <c r="B41" s="277">
        <v>257.41172742103026</v>
      </c>
      <c r="C41" s="278">
        <v>0.1221565896452359</v>
      </c>
    </row>
    <row r="42" spans="1:3">
      <c r="A42" s="276" t="s">
        <v>301</v>
      </c>
      <c r="B42" s="277">
        <v>268.00926309708092</v>
      </c>
      <c r="C42" s="278">
        <v>0.13931686961987966</v>
      </c>
    </row>
    <row r="43" spans="1:3">
      <c r="A43" s="276" t="s">
        <v>302</v>
      </c>
      <c r="B43" s="277">
        <v>276.70115906798219</v>
      </c>
      <c r="C43" s="278">
        <v>0.15283263110080303</v>
      </c>
    </row>
    <row r="44" spans="1:3">
      <c r="A44" s="276" t="s">
        <v>303</v>
      </c>
      <c r="B44" s="277">
        <v>274.59926760518414</v>
      </c>
      <c r="C44" s="278">
        <v>0.11047770266384038</v>
      </c>
    </row>
    <row r="45" spans="1:3">
      <c r="A45" s="276" t="s">
        <v>304</v>
      </c>
      <c r="B45" s="277">
        <v>271.71412835046982</v>
      </c>
      <c r="C45" s="278">
        <v>5.5562351695212842E-2</v>
      </c>
    </row>
    <row r="46" spans="1:3">
      <c r="A46" s="276" t="s">
        <v>305</v>
      </c>
      <c r="B46" s="277">
        <v>268.72954879409997</v>
      </c>
      <c r="C46" s="278">
        <v>2.6875403062398551E-3</v>
      </c>
    </row>
    <row r="47" spans="1:3">
      <c r="A47" s="276" t="s">
        <v>306</v>
      </c>
      <c r="B47" s="277">
        <v>266.26745779826365</v>
      </c>
      <c r="C47" s="278">
        <v>-3.770747222332782E-2</v>
      </c>
    </row>
    <row r="48" spans="1:3">
      <c r="A48" s="276" t="s">
        <v>307</v>
      </c>
      <c r="B48" s="277">
        <v>262.79709092128121</v>
      </c>
      <c r="C48" s="278">
        <v>-4.29796364237649E-2</v>
      </c>
    </row>
    <row r="49" spans="1:3">
      <c r="A49" s="276" t="s">
        <v>308</v>
      </c>
      <c r="B49" s="277">
        <v>257.98356337255564</v>
      </c>
      <c r="C49" s="278">
        <v>-5.0533128554153928E-2</v>
      </c>
    </row>
    <row r="50" spans="1:3">
      <c r="A50" s="276" t="s">
        <v>309</v>
      </c>
      <c r="B50" s="277">
        <v>252.96841679638342</v>
      </c>
      <c r="C50" s="278">
        <v>-5.8650535709389717E-2</v>
      </c>
    </row>
    <row r="51" spans="1:3">
      <c r="A51" s="276" t="s">
        <v>310</v>
      </c>
      <c r="B51" s="277">
        <v>248.84663210406836</v>
      </c>
      <c r="C51" s="278">
        <v>-6.5426041312919625E-2</v>
      </c>
    </row>
    <row r="52" spans="1:3">
      <c r="A52" s="276" t="s">
        <v>311</v>
      </c>
      <c r="B52" s="277">
        <v>243.5776633523796</v>
      </c>
      <c r="C52" s="278">
        <v>-7.313409559262829E-2</v>
      </c>
    </row>
    <row r="53" spans="1:3">
      <c r="A53" s="276" t="s">
        <v>312</v>
      </c>
      <c r="B53" s="277">
        <v>236.27199766771764</v>
      </c>
      <c r="C53" s="278">
        <v>-8.4158717016727835E-2</v>
      </c>
    </row>
    <row r="54" spans="1:3">
      <c r="A54" s="276" t="s">
        <v>313</v>
      </c>
      <c r="B54" s="277">
        <v>228.66215908383384</v>
      </c>
      <c r="C54" s="278">
        <v>-9.6084159518276535E-2</v>
      </c>
    </row>
    <row r="55" spans="1:3">
      <c r="A55" s="276" t="s">
        <v>314</v>
      </c>
      <c r="B55" s="277">
        <v>222.4070980123746</v>
      </c>
      <c r="C55" s="278">
        <v>-0.10624830992543499</v>
      </c>
    </row>
    <row r="56" spans="1:3">
      <c r="A56" s="276" t="s">
        <v>315</v>
      </c>
      <c r="B56" s="277">
        <v>222.88287177723305</v>
      </c>
      <c r="C56" s="278">
        <v>-8.4961778885314976E-2</v>
      </c>
    </row>
    <row r="57" spans="1:3">
      <c r="A57" s="276" t="s">
        <v>316</v>
      </c>
      <c r="B57" s="277">
        <v>223.55495786599445</v>
      </c>
      <c r="C57" s="278">
        <v>-5.3823728276119587E-2</v>
      </c>
    </row>
    <row r="58" spans="1:3">
      <c r="A58" s="276" t="s">
        <v>317</v>
      </c>
      <c r="B58" s="277">
        <v>224.26380370605131</v>
      </c>
      <c r="C58" s="278">
        <v>-1.9235169454382639E-2</v>
      </c>
    </row>
    <row r="59" spans="1:3">
      <c r="A59" s="276" t="s">
        <v>318</v>
      </c>
      <c r="B59" s="277">
        <v>224.84269595926068</v>
      </c>
      <c r="C59" s="278">
        <v>1.0951080107841626E-2</v>
      </c>
    </row>
    <row r="60" spans="1:3">
      <c r="A60" s="276" t="s">
        <v>319</v>
      </c>
      <c r="B60" s="277">
        <v>226.23777222767828</v>
      </c>
      <c r="C60" s="278">
        <v>1.5052302690169883E-2</v>
      </c>
    </row>
    <row r="61" spans="1:3">
      <c r="A61" s="276" t="s">
        <v>320</v>
      </c>
      <c r="B61" s="277">
        <v>228.2188941123099</v>
      </c>
      <c r="C61" s="278">
        <v>2.0862593658563133E-2</v>
      </c>
    </row>
    <row r="62" spans="1:3">
      <c r="A62" s="276" t="s">
        <v>321</v>
      </c>
      <c r="B62" s="277">
        <v>230.31560622527468</v>
      </c>
      <c r="C62" s="278">
        <v>2.698519519964826E-2</v>
      </c>
    </row>
    <row r="63" spans="1:3">
      <c r="A63" s="279" t="s">
        <v>322</v>
      </c>
      <c r="B63" s="277">
        <v>232.02486718785082</v>
      </c>
      <c r="C63" s="278">
        <v>3.1943093361109121E-2</v>
      </c>
    </row>
    <row r="64" spans="1:3">
      <c r="A64" s="279" t="s">
        <v>323</v>
      </c>
      <c r="B64" s="277">
        <v>232.7025667658711</v>
      </c>
      <c r="C64" s="278">
        <v>2.8575221876242951E-2</v>
      </c>
    </row>
    <row r="65" spans="1:3">
      <c r="A65" s="276" t="s">
        <v>324</v>
      </c>
      <c r="B65" s="277">
        <v>233.66763570694201</v>
      </c>
      <c r="C65" s="278">
        <v>2.3875067907176417E-2</v>
      </c>
    </row>
    <row r="66" spans="1:3">
      <c r="A66" s="279" t="s">
        <v>325</v>
      </c>
      <c r="B66" s="277">
        <v>234.69086428895815</v>
      </c>
      <c r="C66" s="278">
        <v>1.8996793727490413E-2</v>
      </c>
    </row>
    <row r="67" spans="1:3">
      <c r="A67" s="276" t="s">
        <v>326</v>
      </c>
      <c r="B67" s="277">
        <v>235.52423024621169</v>
      </c>
      <c r="C67" s="278">
        <v>1.5081844893494623E-2</v>
      </c>
    </row>
    <row r="68" spans="1:3">
      <c r="A68" s="276" t="s">
        <v>327</v>
      </c>
      <c r="B68" s="277">
        <v>238.18088303489191</v>
      </c>
      <c r="C68" s="278">
        <v>2.3542139414958418E-2</v>
      </c>
    </row>
    <row r="69" spans="1:3">
      <c r="A69" s="279" t="s">
        <v>328</v>
      </c>
      <c r="B69" s="277">
        <v>241.91276576235001</v>
      </c>
      <c r="C69" s="278">
        <v>3.5285716956321433E-2</v>
      </c>
    </row>
    <row r="70" spans="1:3">
      <c r="A70" s="279" t="s">
        <v>329</v>
      </c>
      <c r="B70" s="277">
        <v>245.83421282846433</v>
      </c>
      <c r="C70" s="278">
        <v>4.748096426022852E-2</v>
      </c>
    </row>
    <row r="71" spans="1:3">
      <c r="A71" s="279" t="s">
        <v>330</v>
      </c>
      <c r="B71" s="277">
        <v>249.0428889249782</v>
      </c>
      <c r="C71" s="278">
        <v>5.7398165210579055E-2</v>
      </c>
    </row>
    <row r="72" spans="1:3">
      <c r="A72" s="279" t="s">
        <v>331</v>
      </c>
      <c r="B72" s="277">
        <v>252.31037253259603</v>
      </c>
      <c r="C72" s="278">
        <v>5.9322517062103008E-2</v>
      </c>
    </row>
    <row r="73" spans="1:3">
      <c r="A73" s="279" t="s">
        <v>332</v>
      </c>
      <c r="B73" s="277">
        <v>256.91341212470195</v>
      </c>
      <c r="C73" s="278">
        <v>6.2008494322652874E-2</v>
      </c>
    </row>
    <row r="74" spans="1:3">
      <c r="A74" s="279" t="s">
        <v>333</v>
      </c>
      <c r="B74" s="277">
        <v>261.75941969949764</v>
      </c>
      <c r="C74" s="278">
        <v>6.4780270767866854E-2</v>
      </c>
    </row>
    <row r="75" spans="1:3">
      <c r="A75" s="279" t="s">
        <v>334</v>
      </c>
      <c r="B75" s="277">
        <v>265.7207217181986</v>
      </c>
      <c r="C75" s="278">
        <v>6.6967713333282219E-2</v>
      </c>
    </row>
    <row r="76" spans="1:3">
      <c r="A76" s="279" t="s">
        <v>335</v>
      </c>
      <c r="B76" s="277">
        <v>267.86827967394129</v>
      </c>
      <c r="C76" s="278">
        <v>6.1661781817294647E-2</v>
      </c>
    </row>
    <row r="77" spans="1:3">
      <c r="A77" s="279" t="s">
        <v>336</v>
      </c>
      <c r="B77" s="277">
        <v>270.90768768930519</v>
      </c>
      <c r="C77" s="278">
        <v>5.447078628114066E-2</v>
      </c>
    </row>
    <row r="78" spans="1:3">
      <c r="A78" s="279" t="s">
        <v>337</v>
      </c>
      <c r="B78" s="277">
        <v>274.11731680058836</v>
      </c>
      <c r="C78" s="278">
        <v>4.7210897377743644E-2</v>
      </c>
    </row>
    <row r="79" spans="1:3">
      <c r="A79" s="279" t="s">
        <v>338</v>
      </c>
      <c r="B79" s="277">
        <v>276.73683743314166</v>
      </c>
      <c r="C79" s="278">
        <v>4.1457495838904901E-2</v>
      </c>
    </row>
    <row r="80" spans="1:3">
      <c r="A80" s="279" t="s">
        <v>339</v>
      </c>
      <c r="B80" s="277">
        <v>277.29666556330096</v>
      </c>
      <c r="C80" s="278">
        <v>3.5197843883703728E-2</v>
      </c>
    </row>
    <row r="81" spans="1:3">
      <c r="A81" s="279" t="s">
        <v>340</v>
      </c>
      <c r="B81" s="277">
        <v>278.11464485604932</v>
      </c>
      <c r="C81" s="278">
        <v>2.6602999819663742E-2</v>
      </c>
    </row>
    <row r="82" spans="1:3">
      <c r="A82" s="279" t="s">
        <v>341</v>
      </c>
      <c r="B82" s="277">
        <v>278.9962253163863</v>
      </c>
      <c r="C82" s="278">
        <v>1.779861474183031E-2</v>
      </c>
    </row>
    <row r="83" spans="1:3">
      <c r="A83" s="279" t="s">
        <v>342</v>
      </c>
      <c r="B83" s="277">
        <v>279.70820897040596</v>
      </c>
      <c r="C83" s="278">
        <v>1.0737173861004923E-2</v>
      </c>
    </row>
    <row r="84" spans="1:3">
      <c r="A84" s="279" t="s">
        <v>343</v>
      </c>
      <c r="B84" s="277">
        <v>281.46880368389094</v>
      </c>
      <c r="C84" s="278">
        <v>1.5045756544221911E-2</v>
      </c>
    </row>
    <row r="85" spans="1:3">
      <c r="A85" s="279" t="s">
        <v>344</v>
      </c>
      <c r="B85" s="277">
        <v>283.94722533485719</v>
      </c>
      <c r="C85" s="278">
        <v>2.0971856702572289E-2</v>
      </c>
    </row>
    <row r="86" spans="1:3">
      <c r="A86" s="279" t="s">
        <v>345</v>
      </c>
      <c r="B86" s="277">
        <v>286.55521420310413</v>
      </c>
      <c r="C86" s="278">
        <v>2.7093516688786012E-2</v>
      </c>
    </row>
    <row r="87" spans="1:3">
      <c r="A87" s="279" t="s">
        <v>346</v>
      </c>
      <c r="B87" s="277">
        <v>288.68761009281235</v>
      </c>
      <c r="C87" s="278">
        <v>3.2102744340107847E-2</v>
      </c>
    </row>
    <row r="88" spans="1:3">
      <c r="A88" s="280" t="s">
        <v>347</v>
      </c>
      <c r="B88" s="281">
        <v>295.48154908620126</v>
      </c>
      <c r="C88" s="282">
        <v>4.978436408905762E-2</v>
      </c>
    </row>
    <row r="89" spans="1:3">
      <c r="A89" s="280" t="s">
        <v>348</v>
      </c>
      <c r="B89" s="281">
        <v>305.03432766778684</v>
      </c>
      <c r="C89" s="282">
        <v>7.4264160560335579E-2</v>
      </c>
    </row>
    <row r="90" spans="1:3">
      <c r="A90" s="280" t="s">
        <v>349</v>
      </c>
      <c r="B90" s="281">
        <v>315.07871909157859</v>
      </c>
      <c r="C90" s="282">
        <v>9.9539298099310169E-2</v>
      </c>
    </row>
    <row r="91" spans="1:3">
      <c r="A91" s="280" t="s">
        <v>350</v>
      </c>
      <c r="B91" s="281">
        <v>323.29471564664647</v>
      </c>
      <c r="C91" s="282">
        <v>0.11987734957765595</v>
      </c>
    </row>
    <row r="92" spans="1:3">
      <c r="A92" s="280" t="s">
        <v>351</v>
      </c>
      <c r="B92" s="281">
        <v>324.18209255388115</v>
      </c>
      <c r="C92" s="282">
        <v>9.7131423455841803E-2</v>
      </c>
    </row>
    <row r="93" spans="1:3">
      <c r="A93" s="280" t="s">
        <v>352</v>
      </c>
      <c r="B93" s="281">
        <v>325.44285517484593</v>
      </c>
      <c r="C93" s="282">
        <v>6.6905674725521447E-2</v>
      </c>
    </row>
    <row r="94" spans="1:3">
      <c r="A94" s="280" t="s">
        <v>353</v>
      </c>
      <c r="B94" s="281">
        <v>326.77760307592234</v>
      </c>
      <c r="C94" s="282">
        <v>3.7130035370441572E-2</v>
      </c>
    </row>
    <row r="95" spans="1:3">
      <c r="A95" s="280" t="s">
        <v>354</v>
      </c>
      <c r="B95" s="281">
        <v>327.86552399418827</v>
      </c>
      <c r="C95" s="282">
        <v>1.4138209275704972E-2</v>
      </c>
    </row>
    <row r="96" spans="1:3">
      <c r="A96" s="280" t="s">
        <v>355</v>
      </c>
      <c r="B96" s="281">
        <v>334.48969789925354</v>
      </c>
      <c r="C96" s="282">
        <v>3.1795727099451776E-2</v>
      </c>
    </row>
    <row r="97" spans="1:3">
      <c r="A97" s="280" t="s">
        <v>356</v>
      </c>
      <c r="B97" s="281">
        <v>343.81002933604213</v>
      </c>
      <c r="C97" s="282">
        <v>5.6437478559264509E-2</v>
      </c>
    </row>
    <row r="98" spans="1:3">
      <c r="A98" s="280" t="s">
        <v>357</v>
      </c>
      <c r="B98" s="281">
        <v>353.61437595155149</v>
      </c>
      <c r="C98" s="282">
        <v>8.2125496432489564E-2</v>
      </c>
    </row>
    <row r="99" spans="1:3">
      <c r="A99" s="280" t="s">
        <v>358</v>
      </c>
      <c r="B99" s="281">
        <v>361.63217213348861</v>
      </c>
      <c r="C99" s="282">
        <v>0.10298932235369418</v>
      </c>
    </row>
    <row r="100" spans="1:3">
      <c r="A100" s="280" t="s">
        <v>359</v>
      </c>
      <c r="B100" s="281">
        <v>370.56267974187784</v>
      </c>
      <c r="C100" s="282">
        <v>0.10784482173645094</v>
      </c>
    </row>
    <row r="101" spans="1:3">
      <c r="A101" s="280" t="s">
        <v>360</v>
      </c>
      <c r="B101" s="281">
        <v>383.11520543386553</v>
      </c>
      <c r="C101" s="282">
        <v>0.1143223662606021</v>
      </c>
    </row>
    <row r="102" spans="1:3">
      <c r="A102" s="280" t="s">
        <v>361</v>
      </c>
      <c r="B102" s="281">
        <v>396.31063117263591</v>
      </c>
      <c r="C102" s="282">
        <v>0.12074241921356221</v>
      </c>
    </row>
    <row r="103" spans="1:3">
      <c r="A103" s="280" t="s">
        <v>362</v>
      </c>
      <c r="B103" s="281">
        <v>407.10538462401365</v>
      </c>
      <c r="C103" s="282">
        <v>0.12574437783632697</v>
      </c>
    </row>
    <row r="104" spans="1:3">
      <c r="A104" s="280" t="s">
        <v>363</v>
      </c>
      <c r="B104" s="281">
        <v>428.25250179392378</v>
      </c>
      <c r="C104" s="282">
        <v>0.15568168411409067</v>
      </c>
    </row>
    <row r="105" spans="1:3">
      <c r="A105" s="280" t="s">
        <v>364</v>
      </c>
      <c r="B105" s="281">
        <v>458.09108792631986</v>
      </c>
      <c r="C105" s="282">
        <v>0.19570061806225247</v>
      </c>
    </row>
    <row r="106" spans="1:3">
      <c r="A106" s="280" t="s">
        <v>365</v>
      </c>
      <c r="B106" s="281">
        <v>489.53794860511084</v>
      </c>
      <c r="C106" s="282">
        <v>0.23523799287600844</v>
      </c>
    </row>
    <row r="107" spans="1:3">
      <c r="A107" s="280" t="s">
        <v>366</v>
      </c>
      <c r="B107" s="281">
        <v>515.22965858144153</v>
      </c>
      <c r="C107" s="282">
        <v>0.26559283674738698</v>
      </c>
    </row>
    <row r="108" spans="1:3">
      <c r="A108" s="280" t="s">
        <v>367</v>
      </c>
      <c r="B108" s="281">
        <v>513.99992182550398</v>
      </c>
      <c r="C108" s="282">
        <v>0.20022631431781357</v>
      </c>
    </row>
    <row r="109" spans="1:3">
      <c r="A109" s="280" t="s">
        <v>368</v>
      </c>
      <c r="B109" s="281">
        <v>512.55746940023812</v>
      </c>
      <c r="C109" s="282">
        <v>0.1188985835120171</v>
      </c>
    </row>
    <row r="110" spans="1:3">
      <c r="A110" s="280" t="s">
        <v>369</v>
      </c>
      <c r="B110" s="281">
        <v>511.24080413198993</v>
      </c>
      <c r="C110" s="282">
        <v>4.4333346554070507E-2</v>
      </c>
    </row>
    <row r="111" spans="1:3">
      <c r="A111" s="280" t="s">
        <v>370</v>
      </c>
      <c r="B111" s="281">
        <v>510.07897642609692</v>
      </c>
      <c r="C111" s="282">
        <v>-9.9968665808675139E-3</v>
      </c>
    </row>
    <row r="112" spans="1:3">
      <c r="A112" s="280" t="s">
        <v>371</v>
      </c>
      <c r="B112" s="281">
        <v>511.43802827263886</v>
      </c>
      <c r="C112" s="282">
        <v>-4.9842294601259995E-3</v>
      </c>
    </row>
    <row r="113" spans="1:4">
      <c r="A113" s="280" t="s">
        <v>372</v>
      </c>
      <c r="B113" s="281">
        <v>501.39787871334693</v>
      </c>
      <c r="C113" s="282">
        <v>-2.177236964266549E-2</v>
      </c>
    </row>
    <row r="114" spans="1:4">
      <c r="A114" s="280" t="s">
        <v>373</v>
      </c>
      <c r="B114" s="281">
        <v>499.77709319090269</v>
      </c>
      <c r="C114" s="282">
        <v>-2.2423309814933456E-2</v>
      </c>
    </row>
    <row r="115" spans="1:4">
      <c r="A115" s="280" t="s">
        <v>374</v>
      </c>
      <c r="B115" s="281">
        <v>502.71047813267404</v>
      </c>
      <c r="C115" s="282">
        <v>-1.4445798854622049E-2</v>
      </c>
    </row>
    <row r="116" spans="1:4">
      <c r="A116" s="280" t="s">
        <v>375</v>
      </c>
      <c r="B116" s="281">
        <v>513.42466210774887</v>
      </c>
      <c r="C116" s="282">
        <v>3.8844077391346765E-3</v>
      </c>
    </row>
    <row r="117" spans="1:4">
      <c r="A117" s="280" t="s">
        <v>376</v>
      </c>
      <c r="B117" s="281">
        <v>504.87137791262819</v>
      </c>
      <c r="C117" s="282">
        <v>6.9276304243541809E-3</v>
      </c>
    </row>
    <row r="118" spans="1:4">
      <c r="A118" s="280" t="s">
        <v>377</v>
      </c>
      <c r="B118" s="281">
        <v>505.87162699191026</v>
      </c>
      <c r="C118" s="282">
        <v>1.2194504078000268E-2</v>
      </c>
    </row>
    <row r="119" spans="1:4" ht="13.25" customHeight="1" thickBot="1">
      <c r="A119" s="283" t="s">
        <v>378</v>
      </c>
      <c r="B119" s="284">
        <v>508.90436617570094</v>
      </c>
      <c r="C119" s="285">
        <v>1.2320984567566917E-2</v>
      </c>
    </row>
    <row r="120" spans="1:4" ht="13">
      <c r="A120" s="346" t="s">
        <v>379</v>
      </c>
      <c r="B120" s="346"/>
      <c r="C120" s="346"/>
      <c r="D120" s="286"/>
    </row>
    <row r="121" spans="1:4">
      <c r="A121" s="346"/>
      <c r="B121" s="346"/>
      <c r="C121" s="346"/>
    </row>
    <row r="122" spans="1:4">
      <c r="A122" s="346"/>
      <c r="B122" s="346"/>
      <c r="C122" s="346"/>
    </row>
    <row r="123" spans="1:4">
      <c r="A123" s="346"/>
      <c r="B123" s="346"/>
      <c r="C123" s="346"/>
    </row>
    <row r="124" spans="1:4">
      <c r="A124" s="346"/>
      <c r="B124" s="346"/>
      <c r="C124" s="346"/>
    </row>
    <row r="125" spans="1:4" ht="12.75" customHeight="1">
      <c r="A125" s="346"/>
      <c r="B125" s="346"/>
      <c r="C125" s="346"/>
    </row>
    <row r="126" spans="1:4" ht="13">
      <c r="A126" s="287" t="s">
        <v>380</v>
      </c>
      <c r="B126" s="286"/>
      <c r="C126" s="286"/>
    </row>
    <row r="127" spans="1:4" ht="13">
      <c r="A127" s="286"/>
      <c r="B127" s="286"/>
      <c r="C127" s="286"/>
    </row>
    <row r="128" spans="1:4" ht="13">
      <c r="A128" s="286"/>
      <c r="B128" s="286"/>
      <c r="C128" s="286"/>
    </row>
    <row r="129" spans="1:3" ht="13">
      <c r="A129" s="286"/>
      <c r="B129" s="286"/>
      <c r="C129" s="286"/>
    </row>
    <row r="130" spans="1:3" ht="13">
      <c r="A130" s="286"/>
      <c r="B130" s="286"/>
      <c r="C130" s="286"/>
    </row>
  </sheetData>
  <mergeCells count="2">
    <mergeCell ref="A1:C1"/>
    <mergeCell ref="A120:C125"/>
  </mergeCells>
  <phoneticPr fontId="8"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E2A6-AE05-47F6-A227-2AC332D2A3B2}">
  <dimension ref="A1"/>
  <sheetViews>
    <sheetView workbookViewId="0">
      <selection activeCell="C29" sqref="C29"/>
    </sheetView>
  </sheetViews>
  <sheetFormatPr defaultRowHeight="12.5"/>
  <sheetData/>
  <phoneticPr fontId="8" type="noConversion"/>
  <pageMargins left="0.7" right="0.7" top="0.75" bottom="0.75" header="0.3" footer="0.3"/>
  <pageSetup paperSize="9" orientation="portrait" r:id="rId1"/>
  <drawing r:id="rId2"/>
  <legacyDrawing r:id="rId3"/>
  <oleObjects>
    <mc:AlternateContent xmlns:mc="http://schemas.openxmlformats.org/markup-compatibility/2006">
      <mc:Choice Requires="x14">
        <oleObject progId="FDSCHART.FDSChartCtrl.1" shapeId="7170" r:id="rId4">
          <objectPr defaultSize="0" r:id="rId5">
            <anchor moveWithCells="1">
              <from>
                <xdr:col>0</xdr:col>
                <xdr:colOff>0</xdr:colOff>
                <xdr:row>0</xdr:row>
                <xdr:rowOff>0</xdr:rowOff>
              </from>
              <to>
                <xdr:col>14</xdr:col>
                <xdr:colOff>139700</xdr:colOff>
                <xdr:row>18</xdr:row>
                <xdr:rowOff>69850</xdr:rowOff>
              </to>
            </anchor>
          </objectPr>
        </oleObject>
      </mc:Choice>
      <mc:Fallback>
        <oleObject progId="FDSCHART.FDSChartCtrl.1" shapeId="7170" r:id="rId4"/>
      </mc:Fallback>
    </mc:AlternateContent>
    <mc:AlternateContent xmlns:mc="http://schemas.openxmlformats.org/markup-compatibility/2006">
      <mc:Choice Requires="x14">
        <oleObject progId="FDSCHART.FDSChartCtrl.1" shapeId="7172" r:id="rId6">
          <objectPr defaultSize="0" r:id="rId7">
            <anchor moveWithCells="1">
              <from>
                <xdr:col>0</xdr:col>
                <xdr:colOff>0</xdr:colOff>
                <xdr:row>18</xdr:row>
                <xdr:rowOff>50800</xdr:rowOff>
              </from>
              <to>
                <xdr:col>14</xdr:col>
                <xdr:colOff>139700</xdr:colOff>
                <xdr:row>34</xdr:row>
                <xdr:rowOff>63500</xdr:rowOff>
              </to>
            </anchor>
          </objectPr>
        </oleObject>
      </mc:Choice>
      <mc:Fallback>
        <oleObject progId="FDSCHART.FDSChartCtrl.1" shapeId="7172"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dsFormulaCache xmlns="urn:fdsformulacache" version="2" timestamp="1739116306"><![CDATA[{"AZEK-US^FREF_SHARES_COMPANY(0,,,,0,\"LEGACY\")":143.555511474609,"AZEK-US^FF_DEBT(ANN_R,0)":547.325,"AZEK-US^FF_CASH_ST(ANN_R,0)":164.025}]]></FdsFormulaCache>
</file>

<file path=customXml/itemProps1.xml><?xml version="1.0" encoding="utf-8"?>
<ds:datastoreItem xmlns:ds="http://schemas.openxmlformats.org/officeDocument/2006/customXml" ds:itemID="{00A8E9C8-5A1C-4A93-AEB7-5461B8A40D4E}">
  <ds:schemaRefs>
    <ds:schemaRef ds:uri="urn:fdsformulacach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AZEK-US</vt:lpstr>
      <vt:lpstr>Valuation</vt:lpstr>
      <vt:lpstr>NAHB RMI</vt:lpstr>
      <vt:lpstr>LIRA</vt:lpstr>
      <vt:lpstr>US Construction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FactSet Research Systems</dc:creator>
  <cp:keywords/>
  <dc:description/>
  <cp:lastModifiedBy>瑞泽 夏</cp:lastModifiedBy>
  <dcterms:created xsi:type="dcterms:W3CDTF">2025-01-24T18:33:39Z</dcterms:created>
  <dcterms:modified xsi:type="dcterms:W3CDTF">2025-02-10T17:38:48Z</dcterms:modified>
  <cp:category/>
</cp:coreProperties>
</file>